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Resource&amp;Performance\Finance &amp; IT\Information Management\Finance - Proposed Structure\Human Resources\Personal Files\Sophie Evans\Finance\"/>
    </mc:Choice>
  </mc:AlternateContent>
  <xr:revisionPtr revIDLastSave="0" documentId="13_ncr:1_{C5642FFF-CCDB-449E-BF36-DE8AA30B6AA7}" xr6:coauthVersionLast="45" xr6:coauthVersionMax="45" xr10:uidLastSave="{00000000-0000-0000-0000-000000000000}"/>
  <bookViews>
    <workbookView xWindow="28680" yWindow="-120" windowWidth="19440" windowHeight="15000" tabRatio="840" firstSheet="1" activeTab="1" xr2:uid="{00000000-000D-0000-FFFF-FFFF00000000}"/>
  </bookViews>
  <sheets>
    <sheet name="Threshold" sheetId="47" state="hidden" r:id="rId1"/>
    <sheet name="Part 1" sheetId="94" r:id="rId2"/>
    <sheet name="Part 2" sheetId="95" r:id="rId3"/>
    <sheet name="Caldicot Comp" sheetId="6" r:id="rId4"/>
    <sheet name="Chepstow Comp" sheetId="50" r:id="rId5"/>
    <sheet name="King Henry Comp" sheetId="51" r:id="rId6"/>
    <sheet name="Monmouth Comp" sheetId="52" r:id="rId7"/>
    <sheet name="Mounton House" sheetId="89" state="hidden" r:id="rId8"/>
    <sheet name="PRU" sheetId="90" r:id="rId9"/>
    <sheet name="ABRW" sheetId="53" r:id="rId10"/>
    <sheet name="Green Lane" sheetId="54" state="hidden" r:id="rId11"/>
    <sheet name="Castle Park" sheetId="55" r:id="rId12"/>
    <sheet name="West End" sheetId="56" state="hidden" r:id="rId13"/>
    <sheet name="Cantref" sheetId="57" r:id="rId14"/>
    <sheet name="Cross Ash" sheetId="58" r:id="rId15"/>
    <sheet name="Deri View" sheetId="59" r:id="rId16"/>
    <sheet name="Dewstow" sheetId="93" r:id="rId17"/>
    <sheet name="Durand" sheetId="60" r:id="rId18"/>
    <sheet name="Gilwern" sheetId="61" r:id="rId19"/>
    <sheet name="Goytre" sheetId="63" r:id="rId20"/>
    <sheet name="Kymin View" sheetId="64" r:id="rId21"/>
    <sheet name="Llandogo" sheetId="65" r:id="rId22"/>
    <sheet name="Llanfair" sheetId="66" state="hidden" r:id="rId23"/>
    <sheet name="Llanfoist" sheetId="67" r:id="rId24"/>
    <sheet name="Llantilio" sheetId="69" r:id="rId25"/>
    <sheet name="Llanvihangel" sheetId="70" r:id="rId26"/>
    <sheet name="Magor" sheetId="71" r:id="rId27"/>
    <sheet name="Osbaston" sheetId="72" r:id="rId28"/>
    <sheet name="OLSM" sheetId="73" r:id="rId29"/>
    <sheet name="Overmonnow" sheetId="74" r:id="rId30"/>
    <sheet name="Pembroke" sheetId="75" r:id="rId31"/>
    <sheet name="Raglan" sheetId="76" r:id="rId32"/>
    <sheet name="Rogiet" sheetId="77" r:id="rId33"/>
    <sheet name="Shirenewton" sheetId="78" r:id="rId34"/>
    <sheet name="St Marys" sheetId="79" r:id="rId35"/>
    <sheet name="The Dell" sheetId="80" r:id="rId36"/>
    <sheet name="Thornwell" sheetId="81" r:id="rId37"/>
    <sheet name="Trellech" sheetId="82" r:id="rId38"/>
    <sheet name="Undy" sheetId="83" r:id="rId39"/>
    <sheet name="Usk" sheetId="84" r:id="rId40"/>
    <sheet name="Y Fenni" sheetId="85" r:id="rId41"/>
    <sheet name="Y Ffin" sheetId="86" r:id="rId42"/>
  </sheets>
  <externalReferences>
    <externalReference r:id="rId43"/>
    <externalReference r:id="rId44"/>
    <externalReference r:id="rId45"/>
    <externalReference r:id="rId46"/>
  </externalReferences>
  <definedNames>
    <definedName name="Addresses">[1]Details!$A$2:$M$24</definedName>
    <definedName name="AuthCode">[2]FrontPage!$K$17</definedName>
    <definedName name="EmptyNurs" localSheetId="16">[1]Nursery!#REF!</definedName>
    <definedName name="EmptyNurs">[1]Nursery!#REF!</definedName>
    <definedName name="EmptyPrim" localSheetId="16">[3]Primary!#REF!</definedName>
    <definedName name="EmptyPrim">[3]Primary!#REF!</definedName>
    <definedName name="EmptySec" localSheetId="16">[3]Secondary!#REF!</definedName>
    <definedName name="EmptySec">[3]Secondary!#REF!</definedName>
    <definedName name="EmptySpec" localSheetId="16">[3]Special!#REF!</definedName>
    <definedName name="EmptySpec">[3]Special!#REF!</definedName>
    <definedName name="LEACode">[2]FrontPage!$J$17</definedName>
    <definedName name="LEALookup">[1]Lookup!$A$1:$C$23</definedName>
    <definedName name="LEAName">[2]FrontPage!$C$11</definedName>
    <definedName name="numbs" localSheetId="16">[1]Transfer!#REF!</definedName>
    <definedName name="numbs">[1]Transfer!#REF!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7" i="94" l="1"/>
  <c r="I57" i="94"/>
  <c r="F57" i="94"/>
  <c r="I55" i="94"/>
  <c r="H55" i="94"/>
  <c r="G55" i="94"/>
  <c r="I54" i="94"/>
  <c r="H54" i="94"/>
  <c r="G54" i="94"/>
  <c r="J53" i="94"/>
  <c r="I53" i="94"/>
  <c r="G53" i="94"/>
  <c r="H53" i="94" s="1"/>
  <c r="I52" i="94"/>
  <c r="G52" i="94"/>
  <c r="G57" i="94" s="1"/>
  <c r="F42" i="94"/>
  <c r="I40" i="94"/>
  <c r="H40" i="94"/>
  <c r="G40" i="94"/>
  <c r="I39" i="94"/>
  <c r="G39" i="94"/>
  <c r="H39" i="94" s="1"/>
  <c r="I38" i="94"/>
  <c r="H38" i="94"/>
  <c r="G38" i="94"/>
  <c r="I37" i="94"/>
  <c r="H37" i="94"/>
  <c r="G37" i="94"/>
  <c r="I36" i="94"/>
  <c r="H36" i="94"/>
  <c r="G36" i="94"/>
  <c r="I35" i="94"/>
  <c r="G35" i="94"/>
  <c r="H35" i="94" s="1"/>
  <c r="I34" i="94"/>
  <c r="G34" i="94"/>
  <c r="H34" i="94" s="1"/>
  <c r="I33" i="94"/>
  <c r="G33" i="94"/>
  <c r="H33" i="94" s="1"/>
  <c r="I32" i="94"/>
  <c r="H32" i="94"/>
  <c r="G32" i="94"/>
  <c r="I31" i="94"/>
  <c r="G31" i="94"/>
  <c r="H31" i="94" s="1"/>
  <c r="I30" i="94"/>
  <c r="H30" i="94"/>
  <c r="G30" i="94"/>
  <c r="I29" i="94"/>
  <c r="H29" i="94"/>
  <c r="G29" i="94"/>
  <c r="I28" i="94"/>
  <c r="H28" i="94"/>
  <c r="G28" i="94"/>
  <c r="I27" i="94"/>
  <c r="H27" i="94"/>
  <c r="G27" i="94"/>
  <c r="H26" i="94"/>
  <c r="G26" i="94"/>
  <c r="I25" i="94"/>
  <c r="H25" i="94"/>
  <c r="G25" i="94"/>
  <c r="I24" i="94"/>
  <c r="H24" i="94"/>
  <c r="G24" i="94"/>
  <c r="I23" i="94"/>
  <c r="G23" i="94"/>
  <c r="H23" i="94" s="1"/>
  <c r="I22" i="94"/>
  <c r="G22" i="94"/>
  <c r="H22" i="94" s="1"/>
  <c r="I21" i="94"/>
  <c r="G21" i="94"/>
  <c r="H21" i="94" s="1"/>
  <c r="I20" i="94"/>
  <c r="G20" i="94"/>
  <c r="H20" i="94" s="1"/>
  <c r="G19" i="94"/>
  <c r="H19" i="94" s="1"/>
  <c r="I18" i="94"/>
  <c r="H18" i="94"/>
  <c r="G18" i="94"/>
  <c r="I17" i="94"/>
  <c r="G17" i="94"/>
  <c r="H17" i="94" s="1"/>
  <c r="G16" i="94"/>
  <c r="H16" i="94" s="1"/>
  <c r="I15" i="94"/>
  <c r="H15" i="94"/>
  <c r="G15" i="94"/>
  <c r="I14" i="94"/>
  <c r="G14" i="94"/>
  <c r="H14" i="94" s="1"/>
  <c r="I13" i="94"/>
  <c r="H13" i="94"/>
  <c r="G13" i="94"/>
  <c r="I12" i="94"/>
  <c r="H12" i="94"/>
  <c r="G12" i="94"/>
  <c r="J11" i="94"/>
  <c r="J42" i="94" s="1"/>
  <c r="I11" i="94"/>
  <c r="I42" i="94" s="1"/>
  <c r="G11" i="94"/>
  <c r="G42" i="94" s="1"/>
  <c r="H42" i="94" s="1"/>
  <c r="F1" i="94"/>
  <c r="D1" i="94"/>
  <c r="H57" i="94" l="1"/>
  <c r="H52" i="94"/>
  <c r="H11" i="94"/>
  <c r="M58" i="89" l="1"/>
  <c r="I10" i="66" l="1"/>
  <c r="I10" i="56"/>
  <c r="I10" i="54"/>
  <c r="I832" i="47" l="1"/>
  <c r="H832" i="47"/>
  <c r="G832" i="47"/>
  <c r="E832" i="47"/>
  <c r="I822" i="47"/>
  <c r="H822" i="47"/>
  <c r="G822" i="47"/>
  <c r="E822" i="47"/>
  <c r="H811" i="47"/>
  <c r="D811" i="47"/>
  <c r="C804" i="47"/>
  <c r="G798" i="47"/>
  <c r="F798" i="47"/>
  <c r="E798" i="47"/>
  <c r="G775" i="47"/>
  <c r="E775" i="47"/>
  <c r="D775" i="47"/>
  <c r="H758" i="47"/>
  <c r="G758" i="47"/>
  <c r="F758" i="47"/>
  <c r="E758" i="47"/>
  <c r="C756" i="47"/>
  <c r="H742" i="47"/>
  <c r="F742" i="47"/>
  <c r="D742" i="47"/>
  <c r="G726" i="47"/>
  <c r="F726" i="47"/>
  <c r="D726" i="47"/>
  <c r="E708" i="47"/>
  <c r="D708" i="47"/>
  <c r="H695" i="47"/>
  <c r="F695" i="47"/>
  <c r="D695" i="47"/>
  <c r="H680" i="47"/>
  <c r="G658" i="47"/>
  <c r="F658" i="47"/>
  <c r="D658" i="47"/>
  <c r="H645" i="47"/>
  <c r="F645" i="47"/>
  <c r="E645" i="47"/>
  <c r="D645" i="47"/>
  <c r="G633" i="47"/>
  <c r="E633" i="47"/>
  <c r="D633" i="47"/>
  <c r="F622" i="47"/>
  <c r="E622" i="47"/>
  <c r="D622" i="47"/>
  <c r="I593" i="47"/>
  <c r="H593" i="47"/>
  <c r="G593" i="47"/>
  <c r="F593" i="47"/>
  <c r="E593" i="47"/>
  <c r="D593" i="47"/>
  <c r="H577" i="47"/>
  <c r="G577" i="47"/>
  <c r="F577" i="47"/>
  <c r="E577" i="47"/>
  <c r="D577" i="47"/>
  <c r="H561" i="47"/>
  <c r="G561" i="47"/>
  <c r="E561" i="47"/>
  <c r="H538" i="47"/>
  <c r="G538" i="47"/>
  <c r="F538" i="47"/>
  <c r="D538" i="47"/>
  <c r="C537" i="47"/>
  <c r="G524" i="47"/>
  <c r="F524" i="47"/>
  <c r="D524" i="47"/>
  <c r="G400" i="47"/>
  <c r="G381" i="47"/>
  <c r="F381" i="47"/>
  <c r="E381" i="47"/>
  <c r="D381" i="47"/>
  <c r="H373" i="47"/>
  <c r="G373" i="47"/>
  <c r="F373" i="47"/>
  <c r="D373" i="47"/>
  <c r="F363" i="47"/>
  <c r="E363" i="47"/>
  <c r="I350" i="47"/>
  <c r="H350" i="47"/>
  <c r="G350" i="47"/>
  <c r="F350" i="47"/>
  <c r="E350" i="47"/>
  <c r="D350" i="47"/>
  <c r="G344" i="47"/>
  <c r="E344" i="47"/>
  <c r="F334" i="47"/>
  <c r="C326" i="47"/>
  <c r="H262" i="47"/>
  <c r="F262" i="47"/>
  <c r="D262" i="47"/>
  <c r="H247" i="47"/>
  <c r="F247" i="47"/>
  <c r="D247" i="47"/>
  <c r="C239" i="47"/>
  <c r="C238" i="47"/>
  <c r="G233" i="47"/>
  <c r="F233" i="47"/>
  <c r="E233" i="47"/>
  <c r="D233" i="47"/>
  <c r="H222" i="47"/>
  <c r="D222" i="47"/>
  <c r="C221" i="47"/>
  <c r="F149" i="47"/>
  <c r="D149" i="47"/>
  <c r="I139" i="47"/>
  <c r="H139" i="47"/>
  <c r="G139" i="47"/>
  <c r="F139" i="47"/>
  <c r="E139" i="47"/>
  <c r="D139" i="47"/>
  <c r="E127" i="47"/>
  <c r="D127" i="47"/>
  <c r="I111" i="47"/>
  <c r="H111" i="47"/>
  <c r="G111" i="47"/>
  <c r="F111" i="47"/>
  <c r="E111" i="47"/>
  <c r="D111" i="47"/>
  <c r="I346" i="47" l="1"/>
  <c r="M49" i="66" s="1"/>
  <c r="I105" i="47"/>
  <c r="I132" i="47"/>
  <c r="I579" i="47"/>
  <c r="I15" i="89" l="1"/>
  <c r="I16" i="89"/>
  <c r="I17" i="89"/>
  <c r="I18" i="89"/>
  <c r="I19" i="89"/>
  <c r="I15" i="54"/>
  <c r="I16" i="54"/>
  <c r="I17" i="54"/>
  <c r="I18" i="54"/>
  <c r="I19" i="54"/>
  <c r="I20" i="54"/>
  <c r="I21" i="54"/>
  <c r="I22" i="54"/>
  <c r="I15" i="56"/>
  <c r="I16" i="56"/>
  <c r="I17" i="56"/>
  <c r="I18" i="56"/>
  <c r="I19" i="56"/>
  <c r="I20" i="56"/>
  <c r="I21" i="56"/>
  <c r="I22" i="56"/>
  <c r="I15" i="66"/>
  <c r="I16" i="66"/>
  <c r="I17" i="66"/>
  <c r="I18" i="66"/>
  <c r="I19" i="66"/>
  <c r="I20" i="66"/>
  <c r="I21" i="66"/>
  <c r="I22" i="66"/>
  <c r="M29" i="89"/>
  <c r="M30" i="89"/>
  <c r="M41" i="89"/>
  <c r="M43" i="89"/>
  <c r="M34" i="89"/>
  <c r="M36" i="89"/>
  <c r="M37" i="89"/>
  <c r="M38" i="89"/>
  <c r="M39" i="89"/>
  <c r="M56" i="89"/>
  <c r="M28" i="54"/>
  <c r="M29" i="54"/>
  <c r="M30" i="54"/>
  <c r="M31" i="54"/>
  <c r="M32" i="54"/>
  <c r="M33" i="54"/>
  <c r="M45" i="54"/>
  <c r="M47" i="54"/>
  <c r="M35" i="54"/>
  <c r="M36" i="54"/>
  <c r="M37" i="54"/>
  <c r="M38" i="54"/>
  <c r="M39" i="54"/>
  <c r="M40" i="54"/>
  <c r="M41" i="54"/>
  <c r="M42" i="54"/>
  <c r="M43" i="54"/>
  <c r="M57" i="54"/>
  <c r="M59" i="54"/>
  <c r="M28" i="56"/>
  <c r="M29" i="56"/>
  <c r="M30" i="56"/>
  <c r="M31" i="56"/>
  <c r="M32" i="56"/>
  <c r="M33" i="56"/>
  <c r="M45" i="56"/>
  <c r="M47" i="56"/>
  <c r="M35" i="56"/>
  <c r="M36" i="56"/>
  <c r="M37" i="56"/>
  <c r="M38" i="56"/>
  <c r="M39" i="56"/>
  <c r="M40" i="56"/>
  <c r="M41" i="56"/>
  <c r="M42" i="56"/>
  <c r="M43" i="56"/>
  <c r="M57" i="56"/>
  <c r="M59" i="56"/>
  <c r="M32" i="66"/>
  <c r="M45" i="66"/>
  <c r="M39" i="66"/>
  <c r="M41" i="66"/>
  <c r="M42" i="66"/>
  <c r="M57" i="66"/>
  <c r="M59" i="66"/>
  <c r="M37" i="66"/>
  <c r="M43" i="66"/>
  <c r="M40" i="66"/>
  <c r="O50" i="89"/>
  <c r="A3" i="89"/>
  <c r="I11" i="89"/>
  <c r="M32" i="89"/>
  <c r="M33" i="89"/>
  <c r="M36" i="66"/>
  <c r="M35" i="66"/>
  <c r="A3" i="66"/>
  <c r="I11" i="66"/>
  <c r="A3" i="56"/>
  <c r="I11" i="56"/>
  <c r="A3" i="54"/>
  <c r="I11" i="54"/>
  <c r="M38" i="66" l="1"/>
  <c r="M54" i="89"/>
  <c r="M63" i="56"/>
  <c r="M33" i="66"/>
  <c r="M63" i="66"/>
  <c r="M49" i="56"/>
  <c r="M49" i="54"/>
  <c r="M63" i="54"/>
  <c r="M35" i="89"/>
  <c r="I24" i="56"/>
  <c r="I21" i="89"/>
  <c r="I24" i="66"/>
  <c r="I24" i="54"/>
  <c r="M65" i="54" l="1"/>
  <c r="M66" i="54" s="1"/>
  <c r="O66" i="54" s="1"/>
  <c r="M47" i="66"/>
  <c r="M60" i="89"/>
  <c r="D3" i="47"/>
  <c r="F3" i="47"/>
  <c r="E3" i="47"/>
  <c r="I3" i="47"/>
  <c r="H3" i="47"/>
  <c r="G3" i="47"/>
  <c r="M65" i="56"/>
  <c r="M66" i="56" s="1"/>
  <c r="O66" i="56" s="1"/>
  <c r="M65" i="66"/>
  <c r="M66" i="66" s="1"/>
  <c r="O66" i="66" s="1"/>
  <c r="M30" i="66"/>
  <c r="M28" i="66"/>
  <c r="M63" i="89" l="1"/>
  <c r="M25" i="89"/>
  <c r="M26" i="89"/>
  <c r="M50" i="54"/>
  <c r="M42" i="89"/>
  <c r="M50" i="56"/>
  <c r="H658" i="47"/>
  <c r="H798" i="47"/>
  <c r="H775" i="47"/>
  <c r="H610" i="47"/>
  <c r="H726" i="47"/>
  <c r="H633" i="47"/>
  <c r="H622" i="47"/>
  <c r="H381" i="47"/>
  <c r="H363" i="47"/>
  <c r="H344" i="47"/>
  <c r="H400" i="47"/>
  <c r="H127" i="47"/>
  <c r="F708" i="47"/>
  <c r="F610" i="47"/>
  <c r="F832" i="47"/>
  <c r="F633" i="47"/>
  <c r="F561" i="47"/>
  <c r="F222" i="47"/>
  <c r="F127" i="47"/>
  <c r="F344" i="47"/>
  <c r="G811" i="47"/>
  <c r="G742" i="47"/>
  <c r="G695" i="47"/>
  <c r="G680" i="47"/>
  <c r="G708" i="47"/>
  <c r="G645" i="47"/>
  <c r="G334" i="47"/>
  <c r="G149" i="47"/>
  <c r="G363" i="47"/>
  <c r="G247" i="47"/>
  <c r="G222" i="47"/>
  <c r="G210" i="47"/>
  <c r="I708" i="47"/>
  <c r="I811" i="47"/>
  <c r="I775" i="47"/>
  <c r="I262" i="47"/>
  <c r="I381" i="47"/>
  <c r="I344" i="47"/>
  <c r="I149" i="47"/>
  <c r="E524" i="47"/>
  <c r="E658" i="47"/>
  <c r="E726" i="47"/>
  <c r="E680" i="47"/>
  <c r="E811" i="47"/>
  <c r="E742" i="47"/>
  <c r="E695" i="47"/>
  <c r="E538" i="47"/>
  <c r="E373" i="47"/>
  <c r="E400" i="47"/>
  <c r="E222" i="47"/>
  <c r="E210" i="47"/>
  <c r="E149" i="47"/>
  <c r="D798" i="47"/>
  <c r="D758" i="47"/>
  <c r="D680" i="47"/>
  <c r="D610" i="47"/>
  <c r="D561" i="47"/>
  <c r="D363" i="47"/>
  <c r="D344" i="47"/>
  <c r="M46" i="89"/>
  <c r="M27" i="89"/>
  <c r="M50" i="66"/>
  <c r="M29" i="66"/>
  <c r="M46" i="54" l="1"/>
  <c r="M52" i="54" s="1"/>
  <c r="O52" i="54" s="1"/>
  <c r="M46" i="56"/>
  <c r="M52" i="56" s="1"/>
  <c r="O52" i="56" s="1"/>
  <c r="M46" i="66"/>
  <c r="O63" i="89"/>
  <c r="D508" i="47"/>
  <c r="M28" i="89"/>
  <c r="I337" i="47"/>
  <c r="I363" i="47"/>
  <c r="I352" i="47" s="1"/>
  <c r="I373" i="47"/>
  <c r="I365" i="47" s="1"/>
  <c r="I561" i="47"/>
  <c r="I540" i="47" s="1"/>
  <c r="I658" i="47"/>
  <c r="I647" i="47" s="1"/>
  <c r="I622" i="47"/>
  <c r="G103" i="47"/>
  <c r="G610" i="47"/>
  <c r="G622" i="47"/>
  <c r="F210" i="47"/>
  <c r="F822" i="47"/>
  <c r="D400" i="47"/>
  <c r="E103" i="47"/>
  <c r="H149" i="47"/>
  <c r="I141" i="47" s="1"/>
  <c r="D334" i="47"/>
  <c r="I222" i="47"/>
  <c r="I212" i="47" s="1"/>
  <c r="H233" i="47"/>
  <c r="D103" i="47"/>
  <c r="D832" i="47"/>
  <c r="I824" i="47" s="1"/>
  <c r="E262" i="47"/>
  <c r="E334" i="47"/>
  <c r="E247" i="47"/>
  <c r="E508" i="47"/>
  <c r="E610" i="47"/>
  <c r="I210" i="47"/>
  <c r="I247" i="47"/>
  <c r="I400" i="47"/>
  <c r="I680" i="47"/>
  <c r="I633" i="47"/>
  <c r="I624" i="47" s="1"/>
  <c r="I726" i="47"/>
  <c r="I710" i="47" s="1"/>
  <c r="I742" i="47"/>
  <c r="I728" i="47" s="1"/>
  <c r="I798" i="47"/>
  <c r="I777" i="47" s="1"/>
  <c r="F400" i="47"/>
  <c r="I375" i="47"/>
  <c r="H524" i="47"/>
  <c r="H708" i="47"/>
  <c r="I697" i="47" s="1"/>
  <c r="D210" i="47"/>
  <c r="D822" i="47"/>
  <c r="I103" i="47"/>
  <c r="I127" i="47"/>
  <c r="I508" i="47"/>
  <c r="I538" i="47"/>
  <c r="I526" i="47" s="1"/>
  <c r="I233" i="47"/>
  <c r="I334" i="47"/>
  <c r="I264" i="47"/>
  <c r="I695" i="47"/>
  <c r="I682" i="47" s="1"/>
  <c r="I758" i="47"/>
  <c r="I744" i="47" s="1"/>
  <c r="I524" i="47"/>
  <c r="I577" i="47"/>
  <c r="I563" i="47" s="1"/>
  <c r="I610" i="47"/>
  <c r="I645" i="47"/>
  <c r="I635" i="47" s="1"/>
  <c r="G262" i="47"/>
  <c r="G508" i="47"/>
  <c r="G127" i="47"/>
  <c r="F103" i="47"/>
  <c r="F775" i="47"/>
  <c r="I760" i="47" s="1"/>
  <c r="F508" i="47"/>
  <c r="F680" i="47"/>
  <c r="F811" i="47"/>
  <c r="I800" i="47" s="1"/>
  <c r="H103" i="47"/>
  <c r="H210" i="47"/>
  <c r="H334" i="47"/>
  <c r="H508" i="47"/>
  <c r="M31" i="66"/>
  <c r="M52" i="66" l="1"/>
  <c r="O52" i="66" s="1"/>
  <c r="I511" i="47"/>
  <c r="M45" i="89" s="1"/>
  <c r="I113" i="47"/>
  <c r="I402" i="47"/>
  <c r="I383" i="47"/>
  <c r="I6" i="47"/>
  <c r="I224" i="47"/>
  <c r="I612" i="47"/>
  <c r="I660" i="47"/>
  <c r="I813" i="47"/>
  <c r="I595" i="47"/>
  <c r="I151" i="47"/>
  <c r="I235" i="47"/>
  <c r="I251" i="47"/>
  <c r="E18" i="89"/>
  <c r="E19" i="89"/>
  <c r="E17" i="89"/>
  <c r="E15" i="89"/>
  <c r="E16" i="89"/>
  <c r="M18" i="89" l="1"/>
  <c r="M15" i="89"/>
  <c r="M17" i="89"/>
  <c r="E15" i="56"/>
  <c r="M15" i="56" s="1"/>
  <c r="E21" i="54"/>
  <c r="M21" i="54" s="1"/>
  <c r="E15" i="54"/>
  <c r="M15" i="54" s="1"/>
  <c r="E15" i="66"/>
  <c r="M15" i="66" s="1"/>
  <c r="E22" i="66"/>
  <c r="M22" i="66" s="1"/>
  <c r="E22" i="54"/>
  <c r="M22" i="54" s="1"/>
  <c r="E21" i="66"/>
  <c r="M21" i="66" s="1"/>
  <c r="E19" i="56"/>
  <c r="M19" i="56" s="1"/>
  <c r="E20" i="54"/>
  <c r="M20" i="54" s="1"/>
  <c r="E19" i="54"/>
  <c r="M19" i="54" s="1"/>
  <c r="E20" i="66"/>
  <c r="M20" i="66" s="1"/>
  <c r="E19" i="66"/>
  <c r="M19" i="66" s="1"/>
  <c r="E21" i="56"/>
  <c r="M21" i="56" s="1"/>
  <c r="E20" i="56"/>
  <c r="M20" i="56" s="1"/>
  <c r="E22" i="56"/>
  <c r="M22" i="56" s="1"/>
  <c r="M48" i="89"/>
  <c r="I835" i="47"/>
  <c r="M16" i="89"/>
  <c r="M19" i="89"/>
  <c r="E18" i="56" l="1"/>
  <c r="M18" i="56" s="1"/>
  <c r="E16" i="66"/>
  <c r="M16" i="66" s="1"/>
  <c r="E17" i="54"/>
  <c r="M17" i="54" s="1"/>
  <c r="E16" i="56"/>
  <c r="M16" i="56" s="1"/>
  <c r="E17" i="66"/>
  <c r="M17" i="66" s="1"/>
  <c r="E18" i="66"/>
  <c r="M18" i="66" s="1"/>
  <c r="E17" i="56"/>
  <c r="M17" i="56" s="1"/>
  <c r="E18" i="54"/>
  <c r="M18" i="54" s="1"/>
  <c r="E16" i="54"/>
  <c r="M16" i="54" s="1"/>
  <c r="O48" i="89"/>
  <c r="M21" i="89"/>
  <c r="M24" i="54" l="1"/>
  <c r="O24" i="54" s="1"/>
  <c r="M24" i="66"/>
  <c r="O24" i="66" s="1"/>
  <c r="M24" i="56"/>
  <c r="O24" i="56" s="1"/>
  <c r="O68" i="56" s="1"/>
  <c r="O21" i="89"/>
  <c r="O65" i="89" s="1"/>
  <c r="O68" i="54" l="1"/>
  <c r="O68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Drew, Annette J.</author>
    <author>Evans, Sophie</author>
  </authors>
  <commentList>
    <comment ref="A76" authorId="0" shapeId="0" xr:uid="{CCA22D8C-2A74-430A-B263-28DDAAB02E69}">
      <text>
        <r>
          <rPr>
            <b/>
            <sz val="9"/>
            <color indexed="81"/>
            <rFont val="Tahoma"/>
            <family val="2"/>
          </rPr>
          <t>Drew, Annette J.:</t>
        </r>
        <r>
          <rPr>
            <sz val="9"/>
            <color indexed="81"/>
            <rFont val="Tahoma"/>
            <family val="2"/>
          </rPr>
          <t xml:space="preserve">
Caldicot
2021-22 added Monmouth SNRB &amp; KHS Small Class Provision 
</t>
        </r>
      </text>
    </comment>
    <comment ref="A77" authorId="0" shapeId="0" xr:uid="{ACCA7830-8254-4C3A-B075-7492D4113067}">
      <text>
        <r>
          <rPr>
            <b/>
            <sz val="9"/>
            <color indexed="81"/>
            <rFont val="Tahoma"/>
            <family val="2"/>
          </rPr>
          <t>Drew, Annette J.:</t>
        </r>
        <r>
          <rPr>
            <sz val="9"/>
            <color indexed="81"/>
            <rFont val="Tahoma"/>
            <family val="2"/>
          </rPr>
          <t xml:space="preserve">
Pembroke</t>
        </r>
      </text>
    </comment>
    <comment ref="A78" authorId="0" shapeId="0" xr:uid="{5E15211E-819E-4F19-8733-B86D5C3F169D}">
      <text>
        <r>
          <rPr>
            <b/>
            <sz val="9"/>
            <color indexed="81"/>
            <rFont val="Tahoma"/>
            <family val="2"/>
          </rPr>
          <t>Drew, Annette J.:</t>
        </r>
        <r>
          <rPr>
            <sz val="9"/>
            <color indexed="81"/>
            <rFont val="Tahoma"/>
            <family val="2"/>
          </rPr>
          <t xml:space="preserve">
Deri View
</t>
        </r>
      </text>
    </comment>
    <comment ref="A79" authorId="0" shapeId="0" xr:uid="{814206BC-A2CF-4FC5-8E4D-AB10301EC314}">
      <text>
        <r>
          <rPr>
            <b/>
            <sz val="9"/>
            <color indexed="81"/>
            <rFont val="Tahoma"/>
            <family val="2"/>
          </rPr>
          <t>Drew, Annette J.:</t>
        </r>
        <r>
          <rPr>
            <sz val="9"/>
            <color indexed="81"/>
            <rFont val="Tahoma"/>
            <family val="2"/>
          </rPr>
          <t xml:space="preserve">
Overmonnow</t>
        </r>
      </text>
    </comment>
    <comment ref="A174" authorId="1" shapeId="0" xr:uid="{B9173F1F-CD1F-425B-84B9-28416EF53B60}">
      <text>
        <r>
          <rPr>
            <b/>
            <sz val="9"/>
            <color indexed="81"/>
            <rFont val="Tahoma"/>
            <family val="2"/>
          </rPr>
          <t>Evans, Sophie:</t>
        </r>
        <r>
          <rPr>
            <sz val="9"/>
            <color indexed="81"/>
            <rFont val="Tahoma"/>
            <family val="2"/>
          </rPr>
          <t xml:space="preserve">
Mounton House + PRU
(MHS closed 31/08/20)</t>
        </r>
      </text>
    </comment>
    <comment ref="A175" authorId="1" shapeId="0" xr:uid="{B46ADFFB-917E-44C7-915C-1CB8BCFAC4A9}">
      <text>
        <r>
          <rPr>
            <b/>
            <sz val="9"/>
            <color indexed="81"/>
            <rFont val="Tahoma"/>
            <family val="2"/>
          </rPr>
          <t>Evans, Sophie:</t>
        </r>
        <r>
          <rPr>
            <sz val="9"/>
            <color indexed="81"/>
            <rFont val="Tahoma"/>
            <family val="2"/>
          </rPr>
          <t xml:space="preserve">
PRU</t>
        </r>
      </text>
    </comment>
    <comment ref="A176" authorId="1" shapeId="0" xr:uid="{70B0B919-44BF-4064-8496-55D7A74C2A9D}">
      <text>
        <r>
          <rPr>
            <b/>
            <sz val="9"/>
            <color indexed="81"/>
            <rFont val="Tahoma"/>
            <family val="2"/>
          </rPr>
          <t>Evans, Sophie:</t>
        </r>
        <r>
          <rPr>
            <sz val="9"/>
            <color indexed="81"/>
            <rFont val="Tahoma"/>
            <family val="2"/>
          </rPr>
          <t xml:space="preserve">
Mounton House (closed 31/08/2020)</t>
        </r>
      </text>
    </comment>
    <comment ref="A199" authorId="1" shapeId="0" xr:uid="{D6BE0406-9D84-4CE1-9E5C-56AA5C487DED}">
      <text>
        <r>
          <rPr>
            <b/>
            <sz val="9"/>
            <color indexed="81"/>
            <rFont val="Tahoma"/>
            <family val="2"/>
          </rPr>
          <t>Evans, Sophie:</t>
        </r>
        <r>
          <rPr>
            <sz val="9"/>
            <color indexed="81"/>
            <rFont val="Tahoma"/>
            <family val="2"/>
          </rPr>
          <t xml:space="preserve">
PRU (In Reach Centres)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drew.aj</author>
  </authors>
  <commentList>
    <comment ref="M5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drew.aj:</t>
        </r>
        <r>
          <rPr>
            <sz val="8"/>
            <color indexed="81"/>
            <rFont val="Tahoma"/>
            <family val="2"/>
          </rPr>
          <t xml:space="preserve">
Type in figures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drew.aj</author>
  </authors>
  <commentList>
    <comment ref="M50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drew.aj:</t>
        </r>
        <r>
          <rPr>
            <sz val="8"/>
            <color indexed="81"/>
            <rFont val="Tahoma"/>
            <family val="2"/>
          </rPr>
          <t xml:space="preserve">
Type in figures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drew.aj</author>
  </authors>
  <commentList>
    <comment ref="M5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drew.aj:</t>
        </r>
        <r>
          <rPr>
            <sz val="8"/>
            <color indexed="81"/>
            <rFont val="Tahoma"/>
            <family val="2"/>
          </rPr>
          <t xml:space="preserve">
Type in figures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drew.aj</author>
  </authors>
  <commentList>
    <comment ref="M50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drew.aj:</t>
        </r>
        <r>
          <rPr>
            <sz val="8"/>
            <color indexed="81"/>
            <rFont val="Tahoma"/>
            <family val="2"/>
          </rPr>
          <t xml:space="preserve">
Type in figures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drew.aj</author>
  </authors>
  <commentList>
    <comment ref="M50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drew.aj:</t>
        </r>
        <r>
          <rPr>
            <sz val="8"/>
            <color indexed="81"/>
            <rFont val="Tahoma"/>
            <family val="2"/>
          </rPr>
          <t xml:space="preserve">
Type in figures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drew.aj</author>
  </authors>
  <commentList>
    <comment ref="M50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drew.aj:</t>
        </r>
        <r>
          <rPr>
            <sz val="8"/>
            <color indexed="81"/>
            <rFont val="Tahoma"/>
            <family val="2"/>
          </rPr>
          <t xml:space="preserve">
Type in figures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Evans, Sophie</author>
  </authors>
  <commentList>
    <comment ref="M3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Evans, Sophie:</t>
        </r>
        <r>
          <rPr>
            <sz val="9"/>
            <color indexed="81"/>
            <rFont val="Tahoma"/>
            <family val="2"/>
          </rPr>
          <t xml:space="preserve">
14/03/22 the Rateable Value for ARW is £41,250 giving an annual charge of £22,068.75. However this school is now eligible for 80% charitable relief which takes the annual charge down to £4,413.75.</t>
        </r>
      </text>
    </comment>
  </commentList>
</comments>
</file>

<file path=xl/sharedStrings.xml><?xml version="1.0" encoding="utf-8"?>
<sst xmlns="http://schemas.openxmlformats.org/spreadsheetml/2006/main" count="3888" uniqueCount="1512">
  <si>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</si>
  <si>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</si>
  <si>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</si>
  <si>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</si>
  <si>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</si>
  <si>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</si>
  <si>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</si>
  <si>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</si>
  <si>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</si>
  <si>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</si>
  <si>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</si>
  <si>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</si>
  <si>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</si>
  <si>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CALDICOT COMPREHENSIVE</t>
  </si>
  <si>
    <t>CHEPSTOW COMPREHENSIVE</t>
  </si>
  <si>
    <t>KING HENRY V111 COMPREHENSIVE</t>
  </si>
  <si>
    <t>MONMOUTH COMPREHENSIVE</t>
  </si>
  <si>
    <t>ARCHBISHOP ROWAN WILLIAMS C.IN W.</t>
  </si>
  <si>
    <t>CALDICOT GREEN LANE JUNIOR</t>
  </si>
  <si>
    <t>CASTLE PARK</t>
  </si>
  <si>
    <t>CALDICOT WEST END INFANTS &amp; NURSERY</t>
  </si>
  <si>
    <t>CANTREF PRIMARY</t>
  </si>
  <si>
    <t>CROSS ASH PRIMARY</t>
  </si>
  <si>
    <t>DERI VIEW PRIMARY</t>
  </si>
  <si>
    <t>DURAND PRIMARY</t>
  </si>
  <si>
    <t>GILWERN PRIMARY</t>
  </si>
  <si>
    <t>GOYTRE FAWR PRIMARY</t>
  </si>
  <si>
    <t>KYMIN VIEW PRIMARY</t>
  </si>
  <si>
    <t>LLANDOGO PRIMARY</t>
  </si>
  <si>
    <t>LLANFAIR KILGEDDIN CHURCH IN WALES PRIMARY</t>
  </si>
  <si>
    <t>LLANFOIST FAWR</t>
  </si>
  <si>
    <t>LLANTILLIO PERTHOLEY CHURCH IN WALES PRIMARY</t>
  </si>
  <si>
    <t>LLANVIHANGEL CROCORNEY PRIMARY</t>
  </si>
  <si>
    <t>MAGOR CHURCH IN WALES PRIMARY</t>
  </si>
  <si>
    <t>OSBASTON PRIMARY</t>
  </si>
  <si>
    <t xml:space="preserve">OLSM R.C. PRIMARY </t>
  </si>
  <si>
    <t>OVERMONNOW PRIMARY</t>
  </si>
  <si>
    <t>PEMBROKE PRIMARY</t>
  </si>
  <si>
    <t>RAGLAN V.C. PRIMARY</t>
  </si>
  <si>
    <t xml:space="preserve">ROGIET PRIMARY </t>
  </si>
  <si>
    <t>SHIRENEWTON PRIMARY</t>
  </si>
  <si>
    <t>ST. MARYS (CHEPSTOW) R.C. PRIMARY</t>
  </si>
  <si>
    <t>THE DELL PRIMARY</t>
  </si>
  <si>
    <t>THORNWELL PRIMARY &amp; NURSERY UNIT</t>
  </si>
  <si>
    <t>TRELLECH PRIMARY</t>
  </si>
  <si>
    <t>UNDY PRIMARY</t>
  </si>
  <si>
    <t>USK C.V. PRIMARY</t>
  </si>
  <si>
    <t>YSGOL GYMRAEG Y FENNI</t>
  </si>
  <si>
    <t xml:space="preserve">YSGOL GYMRAEG Y FFIN </t>
  </si>
  <si>
    <t>Building Maintenance</t>
  </si>
  <si>
    <t>Energy</t>
  </si>
  <si>
    <t>Grounds Maintenance</t>
  </si>
  <si>
    <t>Total</t>
  </si>
  <si>
    <t xml:space="preserve">Cleaning </t>
  </si>
  <si>
    <t>Rates</t>
  </si>
  <si>
    <t>Lifeguards</t>
  </si>
  <si>
    <t>TOTAL</t>
  </si>
  <si>
    <t xml:space="preserve">(a)Age-Weighted Pupil Units </t>
  </si>
  <si>
    <t>Age Group</t>
  </si>
  <si>
    <t>Funding</t>
  </si>
  <si>
    <t xml:space="preserve">Funds </t>
  </si>
  <si>
    <t>Per Pupil</t>
  </si>
  <si>
    <t>Pupil Numbers</t>
  </si>
  <si>
    <t>Allocated</t>
  </si>
  <si>
    <t>£</t>
  </si>
  <si>
    <t>(b)Premises and Other Factors</t>
  </si>
  <si>
    <t>Caretaking</t>
  </si>
  <si>
    <t>Governors Services</t>
  </si>
  <si>
    <t>Finance and Management Support Services</t>
  </si>
  <si>
    <t>Central ICT</t>
  </si>
  <si>
    <t>Creditor Payments</t>
  </si>
  <si>
    <t>Personnel Services</t>
  </si>
  <si>
    <t>Joint Leisure Facilities</t>
  </si>
  <si>
    <t>NNEB Funding</t>
  </si>
  <si>
    <t>Threshold</t>
  </si>
  <si>
    <t>Lump Sum</t>
  </si>
  <si>
    <t>Band Funding</t>
  </si>
  <si>
    <t xml:space="preserve"> Unit Funding</t>
  </si>
  <si>
    <t>TOTAL FUNDING</t>
  </si>
  <si>
    <t>Deprivation</t>
  </si>
  <si>
    <t>Residential</t>
  </si>
  <si>
    <t>Protection</t>
  </si>
  <si>
    <t>STAFF NAME</t>
  </si>
  <si>
    <t>PAY NO</t>
  </si>
  <si>
    <t>FTE %</t>
  </si>
  <si>
    <t xml:space="preserve">UPS 1                 From Sept </t>
  </si>
  <si>
    <t>UPS 1 TO UPS2</t>
  </si>
  <si>
    <t>UPS 2           All Year</t>
  </si>
  <si>
    <t>UPS 2 to UPS3</t>
  </si>
  <si>
    <t>UPS 3 ALL Year</t>
  </si>
  <si>
    <t>Ashton, Claire</t>
  </si>
  <si>
    <t>007144</t>
  </si>
  <si>
    <t>501653</t>
  </si>
  <si>
    <t>Baker, Wendy</t>
  </si>
  <si>
    <t>005433</t>
  </si>
  <si>
    <t>Blake B J R</t>
  </si>
  <si>
    <t>503235</t>
  </si>
  <si>
    <t>Banfield, Sheena</t>
  </si>
  <si>
    <t>004251</t>
  </si>
  <si>
    <t>Brady A</t>
  </si>
  <si>
    <t>006638</t>
  </si>
  <si>
    <t>Bryant, Graham</t>
  </si>
  <si>
    <t>004258</t>
  </si>
  <si>
    <t>Bryant, Stuart</t>
  </si>
  <si>
    <t>004259</t>
  </si>
  <si>
    <t>005152</t>
  </si>
  <si>
    <t>Cartlidge M A</t>
  </si>
  <si>
    <t>005690</t>
  </si>
  <si>
    <t>Christoffersen, Cheryl</t>
  </si>
  <si>
    <t>004263</t>
  </si>
  <si>
    <t>Cotton, John</t>
  </si>
  <si>
    <t>004266</t>
  </si>
  <si>
    <t>Curnock, Jane</t>
  </si>
  <si>
    <t>004268</t>
  </si>
  <si>
    <t>Davies A E</t>
  </si>
  <si>
    <t>005684</t>
  </si>
  <si>
    <t>Davidson S</t>
  </si>
  <si>
    <t>502898</t>
  </si>
  <si>
    <t>Downs R</t>
  </si>
  <si>
    <t>500998</t>
  </si>
  <si>
    <t xml:space="preserve">Fowler S </t>
  </si>
  <si>
    <t>502893</t>
  </si>
  <si>
    <t>005296</t>
  </si>
  <si>
    <t>500999</t>
  </si>
  <si>
    <t>Hall, Phillip</t>
  </si>
  <si>
    <t>004278</t>
  </si>
  <si>
    <t>Harris J</t>
  </si>
  <si>
    <t>006658</t>
  </si>
  <si>
    <t>503247</t>
  </si>
  <si>
    <t>Jackson, Elizabeth</t>
  </si>
  <si>
    <t>004282</t>
  </si>
  <si>
    <t>James, R</t>
  </si>
  <si>
    <t>500984</t>
  </si>
  <si>
    <t>Johnston, Virginia</t>
  </si>
  <si>
    <t>004287</t>
  </si>
  <si>
    <t>Jones, Maria</t>
  </si>
  <si>
    <t>005109</t>
  </si>
  <si>
    <t>Mock, Shane</t>
  </si>
  <si>
    <t>004304</t>
  </si>
  <si>
    <t>Powell, Helen</t>
  </si>
  <si>
    <t>006485</t>
  </si>
  <si>
    <t>006300</t>
  </si>
  <si>
    <t>Quinn E J</t>
  </si>
  <si>
    <t>006029</t>
  </si>
  <si>
    <t>Reed, Steven</t>
  </si>
  <si>
    <t>005982</t>
  </si>
  <si>
    <t>Rees J</t>
  </si>
  <si>
    <t>006025</t>
  </si>
  <si>
    <t>Rees S</t>
  </si>
  <si>
    <t>005396</t>
  </si>
  <si>
    <t>Rogers, Paul</t>
  </si>
  <si>
    <t>004321</t>
  </si>
  <si>
    <t>Scott R</t>
  </si>
  <si>
    <t>005139</t>
  </si>
  <si>
    <t>Stanbury, Jean</t>
  </si>
  <si>
    <t>004329</t>
  </si>
  <si>
    <t>Stokoe, Eve</t>
  </si>
  <si>
    <t>004330</t>
  </si>
  <si>
    <t>Street R M</t>
  </si>
  <si>
    <t>006338</t>
  </si>
  <si>
    <t>503979</t>
  </si>
  <si>
    <t>006422</t>
  </si>
  <si>
    <t>Walters, Helena</t>
  </si>
  <si>
    <t>004339</t>
  </si>
  <si>
    <t>Watkins, Julia</t>
  </si>
  <si>
    <t>004342</t>
  </si>
  <si>
    <t>006181</t>
  </si>
  <si>
    <t>005672</t>
  </si>
  <si>
    <t>006742</t>
  </si>
  <si>
    <t>Williams, JL</t>
  </si>
  <si>
    <t>006006</t>
  </si>
  <si>
    <t>503210</t>
  </si>
  <si>
    <t>FTE</t>
  </si>
  <si>
    <t>UPS 1                 From Sept</t>
  </si>
  <si>
    <t>C.D.Kerr</t>
  </si>
  <si>
    <t>004357</t>
  </si>
  <si>
    <t>V Punshon</t>
  </si>
  <si>
    <t>005747</t>
  </si>
  <si>
    <t>M Jones</t>
  </si>
  <si>
    <t>006331</t>
  </si>
  <si>
    <t>S Wilsher</t>
  </si>
  <si>
    <t>004954</t>
  </si>
  <si>
    <t>Jones J.M</t>
  </si>
  <si>
    <t>005364</t>
  </si>
  <si>
    <t>McConnell C</t>
  </si>
  <si>
    <t>006433</t>
  </si>
  <si>
    <t>Snell M</t>
  </si>
  <si>
    <t>503201</t>
  </si>
  <si>
    <t>White K</t>
  </si>
  <si>
    <t>006647</t>
  </si>
  <si>
    <t>Back, N</t>
  </si>
  <si>
    <t>004174</t>
  </si>
  <si>
    <t>Bedford S</t>
  </si>
  <si>
    <t>004159</t>
  </si>
  <si>
    <t>Blondeau A</t>
  </si>
  <si>
    <t>005617</t>
  </si>
  <si>
    <t>Clarke, LM</t>
  </si>
  <si>
    <t>004937</t>
  </si>
  <si>
    <t>Cole, AJ</t>
  </si>
  <si>
    <t>005620</t>
  </si>
  <si>
    <t>Dance, R</t>
  </si>
  <si>
    <t>504017</t>
  </si>
  <si>
    <t>Davies I</t>
  </si>
  <si>
    <t>006292</t>
  </si>
  <si>
    <t>Deavall L</t>
  </si>
  <si>
    <t>006666</t>
  </si>
  <si>
    <t>Eidman D</t>
  </si>
  <si>
    <t>501852</t>
  </si>
  <si>
    <t>Elias, A</t>
  </si>
  <si>
    <t>005166</t>
  </si>
  <si>
    <t>Elsmore, Z</t>
  </si>
  <si>
    <t>005449</t>
  </si>
  <si>
    <t>Fudge M</t>
  </si>
  <si>
    <t>501854</t>
  </si>
  <si>
    <t>Jenkins, C</t>
  </si>
  <si>
    <t>004198</t>
  </si>
  <si>
    <t>Jones, C</t>
  </si>
  <si>
    <t>004204</t>
  </si>
  <si>
    <t>Lloyd AK</t>
  </si>
  <si>
    <t>004216</t>
  </si>
  <si>
    <t>Lowery, A</t>
  </si>
  <si>
    <t>006927</t>
  </si>
  <si>
    <t>Lowery, J</t>
  </si>
  <si>
    <t>004219</t>
  </si>
  <si>
    <t>McGrath M J</t>
  </si>
  <si>
    <t>006120</t>
  </si>
  <si>
    <t>Morgan J R</t>
  </si>
  <si>
    <t>005935</t>
  </si>
  <si>
    <t>Morris KL</t>
  </si>
  <si>
    <t>500949</t>
  </si>
  <si>
    <t>Parfitt K</t>
  </si>
  <si>
    <t>500940</t>
  </si>
  <si>
    <t>Phillips R</t>
  </si>
  <si>
    <t>006497</t>
  </si>
  <si>
    <t>Robson J</t>
  </si>
  <si>
    <t>006675</t>
  </si>
  <si>
    <t xml:space="preserve">Scott E J </t>
  </si>
  <si>
    <t>006289</t>
  </si>
  <si>
    <t>Spurgin S</t>
  </si>
  <si>
    <t>501843</t>
  </si>
  <si>
    <t>Williams, A</t>
  </si>
  <si>
    <t>004243</t>
  </si>
  <si>
    <t>J Willis</t>
  </si>
  <si>
    <t>501049</t>
  </si>
  <si>
    <t>006595</t>
  </si>
  <si>
    <t>006650</t>
  </si>
  <si>
    <t>E. Brunt</t>
  </si>
  <si>
    <t>004627</t>
  </si>
  <si>
    <t>L Collins</t>
  </si>
  <si>
    <t>007086</t>
  </si>
  <si>
    <t>J.F.Dunn</t>
  </si>
  <si>
    <t>005670</t>
  </si>
  <si>
    <t>Howe, Jean</t>
  </si>
  <si>
    <t>004026</t>
  </si>
  <si>
    <t>J BROAD</t>
  </si>
  <si>
    <t>005585</t>
  </si>
  <si>
    <t>004492</t>
  </si>
  <si>
    <t>Parry A L</t>
  </si>
  <si>
    <t>006414</t>
  </si>
  <si>
    <t>S Dixon</t>
  </si>
  <si>
    <t>500133</t>
  </si>
  <si>
    <t>Bowker, Susan</t>
  </si>
  <si>
    <t>004609</t>
  </si>
  <si>
    <t>L.Price</t>
  </si>
  <si>
    <t>006199</t>
  </si>
  <si>
    <t>J.Young</t>
  </si>
  <si>
    <t>005777</t>
  </si>
  <si>
    <t>Rust-Andrews E</t>
  </si>
  <si>
    <t>007031</t>
  </si>
  <si>
    <t>C Jones</t>
  </si>
  <si>
    <t>502878</t>
  </si>
  <si>
    <t>Binns, Gwenda</t>
  </si>
  <si>
    <t>004037</t>
  </si>
  <si>
    <t>500990</t>
  </si>
  <si>
    <t>504343</t>
  </si>
  <si>
    <t>Cozzi L A</t>
  </si>
  <si>
    <t>500994</t>
  </si>
  <si>
    <t>Davies, Christine</t>
  </si>
  <si>
    <t>004067</t>
  </si>
  <si>
    <t>Davies, Rhian</t>
  </si>
  <si>
    <t>006692</t>
  </si>
  <si>
    <t>004068</t>
  </si>
  <si>
    <t>Evans, Cynthia Lorraine</t>
  </si>
  <si>
    <t>004069</t>
  </si>
  <si>
    <t>007050</t>
  </si>
  <si>
    <t>500977</t>
  </si>
  <si>
    <t>George, Penny</t>
  </si>
  <si>
    <t>004143</t>
  </si>
  <si>
    <t>007089</t>
  </si>
  <si>
    <t>006655</t>
  </si>
  <si>
    <t>Hellicar, Karen</t>
  </si>
  <si>
    <t>004126</t>
  </si>
  <si>
    <t>503169</t>
  </si>
  <si>
    <t>005525</t>
  </si>
  <si>
    <t>005171</t>
  </si>
  <si>
    <t>Jenkins, Huw</t>
  </si>
  <si>
    <t>004078</t>
  </si>
  <si>
    <t>Jones J R A</t>
  </si>
  <si>
    <t>005365</t>
  </si>
  <si>
    <t>004098</t>
  </si>
  <si>
    <t>Jones, Sylvia Lesley</t>
  </si>
  <si>
    <t>004095</t>
  </si>
  <si>
    <t>006031</t>
  </si>
  <si>
    <t>500993</t>
  </si>
  <si>
    <t>Martin, Andrew John</t>
  </si>
  <si>
    <t>004086</t>
  </si>
  <si>
    <t>Mason, Christine</t>
  </si>
  <si>
    <t>004082</t>
  </si>
  <si>
    <t>005137</t>
  </si>
  <si>
    <t>Morgan, Lynne</t>
  </si>
  <si>
    <t>004085</t>
  </si>
  <si>
    <t>Nelmes, Grahame Vaughan</t>
  </si>
  <si>
    <t>004080</t>
  </si>
  <si>
    <t>503622</t>
  </si>
  <si>
    <t>503240</t>
  </si>
  <si>
    <t>Phillips, S</t>
  </si>
  <si>
    <t>006546</t>
  </si>
  <si>
    <t>Roberton, Ross Morton</t>
  </si>
  <si>
    <t>004102</t>
  </si>
  <si>
    <t>Shier D</t>
  </si>
  <si>
    <t>006674</t>
  </si>
  <si>
    <t>501723</t>
  </si>
  <si>
    <t>500992</t>
  </si>
  <si>
    <t>Spencer, Jill</t>
  </si>
  <si>
    <t>004075</t>
  </si>
  <si>
    <t>004124</t>
  </si>
  <si>
    <t>006276</t>
  </si>
  <si>
    <t>004120</t>
  </si>
  <si>
    <t>006680</t>
  </si>
  <si>
    <t>004107</t>
  </si>
  <si>
    <t>Williams, Steven</t>
  </si>
  <si>
    <t>004115</t>
  </si>
  <si>
    <t>GM Roberts</t>
  </si>
  <si>
    <t>005596</t>
  </si>
  <si>
    <t>Watson M</t>
  </si>
  <si>
    <t>006745</t>
  </si>
  <si>
    <t>C.S.Evans</t>
  </si>
  <si>
    <t>005133</t>
  </si>
  <si>
    <t>Pugh, Tracey Elizabeth</t>
  </si>
  <si>
    <t>005027</t>
  </si>
  <si>
    <t>M.J.Price</t>
  </si>
  <si>
    <t>005703</t>
  </si>
  <si>
    <t>Thomas, Janet Wyn</t>
  </si>
  <si>
    <t>004653</t>
  </si>
  <si>
    <t>L.A. Jenkins</t>
  </si>
  <si>
    <t>004646</t>
  </si>
  <si>
    <t>L.Welsh</t>
  </si>
  <si>
    <t>005717</t>
  </si>
  <si>
    <t>B.L.Hunt</t>
  </si>
  <si>
    <t>004859</t>
  </si>
  <si>
    <t>Kershaw J</t>
  </si>
  <si>
    <t>501949</t>
  </si>
  <si>
    <t>Jeffreys H</t>
  </si>
  <si>
    <t>005278</t>
  </si>
  <si>
    <t>Jones E</t>
  </si>
  <si>
    <t>007153</t>
  </si>
  <si>
    <t>Johnson R</t>
  </si>
  <si>
    <t>005311</t>
  </si>
  <si>
    <t>Phillips N</t>
  </si>
  <si>
    <t>006572</t>
  </si>
  <si>
    <t>Richards, Frances</t>
  </si>
  <si>
    <t>004861</t>
  </si>
  <si>
    <t>Supple M</t>
  </si>
  <si>
    <t>502387</t>
  </si>
  <si>
    <t>Atkinson</t>
  </si>
  <si>
    <t>006317</t>
  </si>
  <si>
    <t>Manners C</t>
  </si>
  <si>
    <t>Baber, Elizabeth Jane</t>
  </si>
  <si>
    <t>004400</t>
  </si>
  <si>
    <t>Erasmus O</t>
  </si>
  <si>
    <t>Boswell, Jane Dorothy</t>
  </si>
  <si>
    <t>004447</t>
  </si>
  <si>
    <t>Bristow C</t>
  </si>
  <si>
    <t>005599</t>
  </si>
  <si>
    <t>Brooker, Sandra</t>
  </si>
  <si>
    <t>004382</t>
  </si>
  <si>
    <t>Burrows R</t>
  </si>
  <si>
    <t>006639</t>
  </si>
  <si>
    <t>Chaplin, J</t>
  </si>
  <si>
    <t>006573</t>
  </si>
  <si>
    <t>Cook L</t>
  </si>
  <si>
    <t>Connern C P</t>
  </si>
  <si>
    <t>501919</t>
  </si>
  <si>
    <t>Cowton D J</t>
  </si>
  <si>
    <t>006297</t>
  </si>
  <si>
    <t>Collins N J</t>
  </si>
  <si>
    <t>004420</t>
  </si>
  <si>
    <t>Duffill C J</t>
  </si>
  <si>
    <t>006254</t>
  </si>
  <si>
    <t>Dean, Caroline</t>
  </si>
  <si>
    <t>004440</t>
  </si>
  <si>
    <t>004397</t>
  </si>
  <si>
    <t>Edwards, V</t>
  </si>
  <si>
    <t>Evans L</t>
  </si>
  <si>
    <t>Fry R</t>
  </si>
  <si>
    <t>004432</t>
  </si>
  <si>
    <t>Fuller, Amanda Jane</t>
  </si>
  <si>
    <t>Geddes R</t>
  </si>
  <si>
    <t>Hammersley B</t>
  </si>
  <si>
    <t>006222</t>
  </si>
  <si>
    <t>Jordan, Sandra</t>
  </si>
  <si>
    <t>004468</t>
  </si>
  <si>
    <t>Meacham T J</t>
  </si>
  <si>
    <t>500936</t>
  </si>
  <si>
    <t>Morgan, Alison Mary</t>
  </si>
  <si>
    <t>004396</t>
  </si>
  <si>
    <t>Nicolaide S</t>
  </si>
  <si>
    <t>Pearson S</t>
  </si>
  <si>
    <t>502233</t>
  </si>
  <si>
    <t>Penny M</t>
  </si>
  <si>
    <t>Perry-Phillips, S</t>
  </si>
  <si>
    <t>005367</t>
  </si>
  <si>
    <t>Powell, Michael John</t>
  </si>
  <si>
    <t>004418</t>
  </si>
  <si>
    <t>Price F J</t>
  </si>
  <si>
    <t>006298</t>
  </si>
  <si>
    <t>Price W</t>
  </si>
  <si>
    <t>Adams C</t>
  </si>
  <si>
    <t>Snook, J</t>
  </si>
  <si>
    <t>006478</t>
  </si>
  <si>
    <t>Taylor N J</t>
  </si>
  <si>
    <t>006033</t>
  </si>
  <si>
    <t>Vale Jenkins DI</t>
  </si>
  <si>
    <t>005554</t>
  </si>
  <si>
    <t>Warren H J</t>
  </si>
  <si>
    <t>006684</t>
  </si>
  <si>
    <t>White, Thomas James</t>
  </si>
  <si>
    <t>004466</t>
  </si>
  <si>
    <t>Williams D J</t>
  </si>
  <si>
    <t>005156</t>
  </si>
  <si>
    <t>Williams, Sean</t>
  </si>
  <si>
    <t>004443</t>
  </si>
  <si>
    <t xml:space="preserve">CB Brown </t>
  </si>
  <si>
    <t>004431</t>
  </si>
  <si>
    <t>Young T</t>
  </si>
  <si>
    <t>500966</t>
  </si>
  <si>
    <t>L DAVIES</t>
  </si>
  <si>
    <t>007056</t>
  </si>
  <si>
    <t>David Stones</t>
  </si>
  <si>
    <t>504005</t>
  </si>
  <si>
    <t>Mathhew Duffield</t>
  </si>
  <si>
    <t>U RAHIM</t>
  </si>
  <si>
    <t>004766</t>
  </si>
  <si>
    <t>J Thomas</t>
  </si>
  <si>
    <t>501502</t>
  </si>
  <si>
    <t>501503</t>
  </si>
  <si>
    <t>Maria Rose</t>
  </si>
  <si>
    <t>501500</t>
  </si>
  <si>
    <t>S Squires</t>
  </si>
  <si>
    <t>A.Richards</t>
  </si>
  <si>
    <t>004668</t>
  </si>
  <si>
    <t>M.Thomas</t>
  </si>
  <si>
    <t>006107</t>
  </si>
  <si>
    <t>M.J. Primavesi</t>
  </si>
  <si>
    <t>500167</t>
  </si>
  <si>
    <t>L.Richards</t>
  </si>
  <si>
    <t>500168</t>
  </si>
  <si>
    <t>J.Stephens</t>
  </si>
  <si>
    <t>005400</t>
  </si>
  <si>
    <t>A J Baxter</t>
  </si>
  <si>
    <t>005644</t>
  </si>
  <si>
    <t>Skilton J</t>
  </si>
  <si>
    <t>004686</t>
  </si>
  <si>
    <t>D Beech</t>
  </si>
  <si>
    <t>502732</t>
  </si>
  <si>
    <t>S Price</t>
  </si>
  <si>
    <t>004687</t>
  </si>
  <si>
    <t>Harding, Cara Louise</t>
  </si>
  <si>
    <t>005673</t>
  </si>
  <si>
    <t>Lewis, Christine</t>
  </si>
  <si>
    <t>004674</t>
  </si>
  <si>
    <t>Bray M.A.</t>
  </si>
  <si>
    <t>005126</t>
  </si>
  <si>
    <t>Williams, Nancy Diana</t>
  </si>
  <si>
    <t>004673</t>
  </si>
  <si>
    <t>Stephens N</t>
  </si>
  <si>
    <t>005646</t>
  </si>
  <si>
    <t>F.E. Wilson</t>
  </si>
  <si>
    <t>190575</t>
  </si>
  <si>
    <t>Greening, Meurig</t>
  </si>
  <si>
    <t>005696</t>
  </si>
  <si>
    <t>Harvey, C</t>
  </si>
  <si>
    <t>005049</t>
  </si>
  <si>
    <t>S.R. Giles</t>
  </si>
  <si>
    <t>005679</t>
  </si>
  <si>
    <t>Rayment, Amanda</t>
  </si>
  <si>
    <t>005659</t>
  </si>
  <si>
    <t>Rees, Cheryl</t>
  </si>
  <si>
    <t>004480</t>
  </si>
  <si>
    <t>Carpenter J</t>
  </si>
  <si>
    <t>Thomas, Lesley</t>
  </si>
  <si>
    <t>004594</t>
  </si>
  <si>
    <t>Tyson, Nicola</t>
  </si>
  <si>
    <t>004484</t>
  </si>
  <si>
    <t>Hanson, J</t>
  </si>
  <si>
    <t>004704</t>
  </si>
  <si>
    <t>R.Durman</t>
  </si>
  <si>
    <t>006277</t>
  </si>
  <si>
    <t>K.Impey</t>
  </si>
  <si>
    <t>004987</t>
  </si>
  <si>
    <t>K.Steward</t>
  </si>
  <si>
    <t>006229</t>
  </si>
  <si>
    <t>D Squirrel</t>
  </si>
  <si>
    <t>A Green</t>
  </si>
  <si>
    <t>C Graydon</t>
  </si>
  <si>
    <t>K James</t>
  </si>
  <si>
    <t>005707</t>
  </si>
  <si>
    <t>A Parker</t>
  </si>
  <si>
    <t>006669</t>
  </si>
  <si>
    <t>C Rosato</t>
  </si>
  <si>
    <t>006618</t>
  </si>
  <si>
    <t>C Carter</t>
  </si>
  <si>
    <t>A.L Cox</t>
  </si>
  <si>
    <t>006295</t>
  </si>
  <si>
    <t>J Eickhoff</t>
  </si>
  <si>
    <t>006749</t>
  </si>
  <si>
    <t>005962</t>
  </si>
  <si>
    <t>McCormick,H</t>
  </si>
  <si>
    <t>004729</t>
  </si>
  <si>
    <t>C Smith</t>
  </si>
  <si>
    <t>007052</t>
  </si>
  <si>
    <t>N Way</t>
  </si>
  <si>
    <t>007051</t>
  </si>
  <si>
    <t>Griffin, H</t>
  </si>
  <si>
    <t>004727</t>
  </si>
  <si>
    <t>005600</t>
  </si>
  <si>
    <t>C.E. Stephens</t>
  </si>
  <si>
    <t>006105</t>
  </si>
  <si>
    <t>Spokes, AM</t>
  </si>
  <si>
    <t>004573</t>
  </si>
  <si>
    <t>Harris K</t>
  </si>
  <si>
    <t>006704</t>
  </si>
  <si>
    <t>Silk, Carola Lynn</t>
  </si>
  <si>
    <t>004843</t>
  </si>
  <si>
    <t>L.H. Xerri</t>
  </si>
  <si>
    <t>006715</t>
  </si>
  <si>
    <t>V.Wilson</t>
  </si>
  <si>
    <t>501346</t>
  </si>
  <si>
    <t>R.F. Lambert</t>
  </si>
  <si>
    <t>006411</t>
  </si>
  <si>
    <t>A.Jenkins</t>
  </si>
  <si>
    <t>004839</t>
  </si>
  <si>
    <t>D.Ashton-Smith</t>
  </si>
  <si>
    <t>005043</t>
  </si>
  <si>
    <t>M.Adams</t>
  </si>
  <si>
    <t>500916</t>
  </si>
  <si>
    <t>Beavan,L</t>
  </si>
  <si>
    <t>L Davies</t>
  </si>
  <si>
    <t>006443</t>
  </si>
  <si>
    <t>D Shewan</t>
  </si>
  <si>
    <t>500952</t>
  </si>
  <si>
    <t>H Kilbourn</t>
  </si>
  <si>
    <t>006727</t>
  </si>
  <si>
    <t>M Davies</t>
  </si>
  <si>
    <t>501356</t>
  </si>
  <si>
    <t>George, Sarah</t>
  </si>
  <si>
    <t>004841</t>
  </si>
  <si>
    <t>Hutchinson, C</t>
  </si>
  <si>
    <t>004555</t>
  </si>
  <si>
    <t>Lee, Christine Anne</t>
  </si>
  <si>
    <t>004557</t>
  </si>
  <si>
    <t>S.Mills</t>
  </si>
  <si>
    <t>006318</t>
  </si>
  <si>
    <t>Perrott, SJ</t>
  </si>
  <si>
    <t>004919</t>
  </si>
  <si>
    <t>Tovey, KAJ</t>
  </si>
  <si>
    <t>004559</t>
  </si>
  <si>
    <t>Williams, HM</t>
  </si>
  <si>
    <t>004552</t>
  </si>
  <si>
    <t>Miles D</t>
  </si>
  <si>
    <t>C Cotton</t>
  </si>
  <si>
    <t>R Maunder</t>
  </si>
  <si>
    <t>Nelmes, Adele</t>
  </si>
  <si>
    <t>004540</t>
  </si>
  <si>
    <t>E Hammet</t>
  </si>
  <si>
    <t>006333</t>
  </si>
  <si>
    <t>H.Jones</t>
  </si>
  <si>
    <t>006007</t>
  </si>
  <si>
    <t>T.J. Floyd</t>
  </si>
  <si>
    <t>005376</t>
  </si>
  <si>
    <t>J Gribble</t>
  </si>
  <si>
    <t>006393</t>
  </si>
  <si>
    <t>Perry,K</t>
  </si>
  <si>
    <t>005162</t>
  </si>
  <si>
    <t>Misljen,RC</t>
  </si>
  <si>
    <t>005177</t>
  </si>
  <si>
    <t xml:space="preserve">Penticost, Sian Millicent </t>
  </si>
  <si>
    <t>004541</t>
  </si>
  <si>
    <t>Thomas, Denise Ann</t>
  </si>
  <si>
    <t>004514</t>
  </si>
  <si>
    <t>A.Calderwood</t>
  </si>
  <si>
    <t>005020</t>
  </si>
  <si>
    <t>Edwards, Sian</t>
  </si>
  <si>
    <t>004868</t>
  </si>
  <si>
    <t>Grant, Clare Elizabeth</t>
  </si>
  <si>
    <t>004869</t>
  </si>
  <si>
    <t>Morgan, Angela</t>
  </si>
  <si>
    <t>004870</t>
  </si>
  <si>
    <t>Stones, Mark</t>
  </si>
  <si>
    <t>004866</t>
  </si>
  <si>
    <t>A.M.Acaster</t>
  </si>
  <si>
    <t>500961</t>
  </si>
  <si>
    <t>007096</t>
  </si>
  <si>
    <t>Troakes, Jean Lynne</t>
  </si>
  <si>
    <t>004844</t>
  </si>
  <si>
    <t>Morris, Susan</t>
  </si>
  <si>
    <t>004691</t>
  </si>
  <si>
    <t>Page L</t>
  </si>
  <si>
    <t>007172</t>
  </si>
  <si>
    <t>Picton Evans E</t>
  </si>
  <si>
    <t>006296</t>
  </si>
  <si>
    <t>Webb T</t>
  </si>
  <si>
    <t>006225</t>
  </si>
  <si>
    <t>Webb, Jonathan David</t>
  </si>
  <si>
    <t>006125</t>
  </si>
  <si>
    <t>SS LESBIREL</t>
  </si>
  <si>
    <t>A.FRANCIS</t>
  </si>
  <si>
    <t>B.J. Brown</t>
  </si>
  <si>
    <t>CE BENTLEY</t>
  </si>
  <si>
    <t>005993</t>
  </si>
  <si>
    <t>J.K.Mayo</t>
  </si>
  <si>
    <t>005779</t>
  </si>
  <si>
    <t>R.Badman</t>
  </si>
  <si>
    <t>501893</t>
  </si>
  <si>
    <t>P.TAYLOR</t>
  </si>
  <si>
    <t>004794</t>
  </si>
  <si>
    <t>S.PHILLIPS</t>
  </si>
  <si>
    <t>006390</t>
  </si>
  <si>
    <t>A Spencer</t>
  </si>
  <si>
    <t>006242</t>
  </si>
  <si>
    <t>J Butt</t>
  </si>
  <si>
    <t>004792</t>
  </si>
  <si>
    <t>UPS 1                  from Sept</t>
  </si>
  <si>
    <t>Cooper, Clare Elizabeth</t>
  </si>
  <si>
    <t>004816</t>
  </si>
  <si>
    <t xml:space="preserve">C.S. Baggott </t>
  </si>
  <si>
    <t>005381</t>
  </si>
  <si>
    <t>Wilce E</t>
  </si>
  <si>
    <t>501930</t>
  </si>
  <si>
    <t>C.V.HUGHES</t>
  </si>
  <si>
    <t>004878</t>
  </si>
  <si>
    <t>B North</t>
  </si>
  <si>
    <t>Gwyn R</t>
  </si>
  <si>
    <t>Large M</t>
  </si>
  <si>
    <t>502300</t>
  </si>
  <si>
    <t>PUPIL REFERRAL UNIT</t>
  </si>
  <si>
    <t>THRESHOLD</t>
  </si>
  <si>
    <t xml:space="preserve">MOUNTON HOUSE SPECIAL SCHOOL </t>
  </si>
  <si>
    <t>(c)Special Needs</t>
  </si>
  <si>
    <t>(c)D.E.L.L.S. Post 16 Allocation including Mainstream S.E.N</t>
  </si>
  <si>
    <t>(d)Special Needs</t>
  </si>
  <si>
    <t xml:space="preserve">Emotional and Behavioural Difficulties </t>
  </si>
  <si>
    <t xml:space="preserve">Medical </t>
  </si>
  <si>
    <t>Bayliss L</t>
  </si>
  <si>
    <t>Jenkins H S</t>
  </si>
  <si>
    <t>502035</t>
  </si>
  <si>
    <t>502054</t>
  </si>
  <si>
    <t>503170</t>
  </si>
  <si>
    <t>Aylett R</t>
  </si>
  <si>
    <t>503157</t>
  </si>
  <si>
    <t>Davies, Judith</t>
  </si>
  <si>
    <t>501915</t>
  </si>
  <si>
    <t>501856</t>
  </si>
  <si>
    <t>505388</t>
  </si>
  <si>
    <t>Jones H</t>
  </si>
  <si>
    <t>210802</t>
  </si>
  <si>
    <t>N Balkwill</t>
  </si>
  <si>
    <t>Buchan M</t>
  </si>
  <si>
    <t>501141</t>
  </si>
  <si>
    <t>006326</t>
  </si>
  <si>
    <t>Dally T</t>
  </si>
  <si>
    <t>504139</t>
  </si>
  <si>
    <t>J Foster</t>
  </si>
  <si>
    <t>K Schartz</t>
  </si>
  <si>
    <t>Somersall A</t>
  </si>
  <si>
    <t>006651</t>
  </si>
  <si>
    <t>Jones L J</t>
  </si>
  <si>
    <t>007009</t>
  </si>
  <si>
    <t>004852</t>
  </si>
  <si>
    <t>Richard L</t>
  </si>
  <si>
    <t>Guest C</t>
  </si>
  <si>
    <t>Green BL</t>
  </si>
  <si>
    <t>MONMOUTHSHIRE CHILDREN AND YOUNG PEOPLE DIRECTORATE</t>
  </si>
  <si>
    <t>DEWSTOW PRIMARY</t>
  </si>
  <si>
    <t>Bristow, Heather</t>
  </si>
  <si>
    <t>501477</t>
  </si>
  <si>
    <t>Davies, Heather</t>
  </si>
  <si>
    <t>502645</t>
  </si>
  <si>
    <t>Edwards, Rhys</t>
  </si>
  <si>
    <t>503345</t>
  </si>
  <si>
    <t>Gerhold, Lois</t>
  </si>
  <si>
    <t>505723</t>
  </si>
  <si>
    <t>Harris, Matthew</t>
  </si>
  <si>
    <t>502644</t>
  </si>
  <si>
    <t>Page, Richard</t>
  </si>
  <si>
    <t>505669</t>
  </si>
  <si>
    <t>502643</t>
  </si>
  <si>
    <t>504045</t>
  </si>
  <si>
    <t>505629</t>
  </si>
  <si>
    <t>Possiter, E</t>
  </si>
  <si>
    <t>505713</t>
  </si>
  <si>
    <t>504626</t>
  </si>
  <si>
    <t>*</t>
  </si>
  <si>
    <t>5 months</t>
  </si>
  <si>
    <t>504761</t>
  </si>
  <si>
    <t>502627</t>
  </si>
  <si>
    <t>504224</t>
  </si>
  <si>
    <t>501864</t>
  </si>
  <si>
    <t>R Clewer</t>
  </si>
  <si>
    <t>006617</t>
  </si>
  <si>
    <t>C.L.  Sisson</t>
  </si>
  <si>
    <t>500234</t>
  </si>
  <si>
    <t>L. Johns</t>
  </si>
  <si>
    <t>502333</t>
  </si>
  <si>
    <t>Hill, Timothy</t>
  </si>
  <si>
    <t>505500</t>
  </si>
  <si>
    <t>Dickenson, Rhian</t>
  </si>
  <si>
    <t>210787</t>
  </si>
  <si>
    <t>Flynn, Lorna</t>
  </si>
  <si>
    <t>005619</t>
  </si>
  <si>
    <t>Gemma Taylor</t>
  </si>
  <si>
    <t>Sally-Anne Seaward</t>
  </si>
  <si>
    <t>Miss Katie Thomas</t>
  </si>
  <si>
    <t>502681</t>
  </si>
  <si>
    <t>Mrs Sara Wall</t>
  </si>
  <si>
    <t>503359</t>
  </si>
  <si>
    <t>Gareth Jones</t>
  </si>
  <si>
    <t>James Standwick</t>
  </si>
  <si>
    <t>500136</t>
  </si>
  <si>
    <t>E Spence</t>
  </si>
  <si>
    <t>Burbidge S</t>
  </si>
  <si>
    <t>501845</t>
  </si>
  <si>
    <t>Hoare T</t>
  </si>
  <si>
    <t>V Critchley</t>
  </si>
  <si>
    <t>L.E.Clarke         (Now Lloyd)</t>
  </si>
  <si>
    <t xml:space="preserve">J Williams </t>
  </si>
  <si>
    <t>504216</t>
  </si>
  <si>
    <t>D Green</t>
  </si>
  <si>
    <t>502009</t>
  </si>
  <si>
    <t>004576</t>
  </si>
  <si>
    <t>504630</t>
  </si>
  <si>
    <t>006795</t>
  </si>
  <si>
    <t>502633</t>
  </si>
  <si>
    <t>502734</t>
  </si>
  <si>
    <t>500974</t>
  </si>
  <si>
    <t>501000</t>
  </si>
  <si>
    <t>500375</t>
  </si>
  <si>
    <t>006645</t>
  </si>
  <si>
    <t>500962</t>
  </si>
  <si>
    <t>006648</t>
  </si>
  <si>
    <t>006653</t>
  </si>
  <si>
    <t>500890</t>
  </si>
  <si>
    <t>006282</t>
  </si>
  <si>
    <t>007093</t>
  </si>
  <si>
    <t>500937</t>
  </si>
  <si>
    <t>007063</t>
  </si>
  <si>
    <t>007057</t>
  </si>
  <si>
    <t>504723</t>
  </si>
  <si>
    <t>Sully Adrian</t>
  </si>
  <si>
    <t>500201</t>
  </si>
  <si>
    <t>Glover Linda</t>
  </si>
  <si>
    <t>502629</t>
  </si>
  <si>
    <t>Porter Rebecca</t>
  </si>
  <si>
    <t>502618</t>
  </si>
  <si>
    <t>Taylor Lucy</t>
  </si>
  <si>
    <t>503260</t>
  </si>
  <si>
    <t>McLachlan Olivia</t>
  </si>
  <si>
    <t>502744</t>
  </si>
  <si>
    <t>Summons Carys</t>
  </si>
  <si>
    <t>502638</t>
  </si>
  <si>
    <t>Ryan Claire</t>
  </si>
  <si>
    <t>501897</t>
  </si>
  <si>
    <t>Egan David</t>
  </si>
  <si>
    <t>501906</t>
  </si>
  <si>
    <t>Page Hayley</t>
  </si>
  <si>
    <t>501903</t>
  </si>
  <si>
    <t>Caswell Sarah</t>
  </si>
  <si>
    <t>505676</t>
  </si>
  <si>
    <t>Gunter Susan</t>
  </si>
  <si>
    <t>504967</t>
  </si>
  <si>
    <t>C Jenkins</t>
  </si>
  <si>
    <t>501902</t>
  </si>
  <si>
    <t>501656</t>
  </si>
  <si>
    <t>505180</t>
  </si>
  <si>
    <t>004700</t>
  </si>
  <si>
    <t>006813</t>
  </si>
  <si>
    <t>Maternity</t>
  </si>
  <si>
    <t>Jones N</t>
  </si>
  <si>
    <t>Pearson A</t>
  </si>
  <si>
    <t>503265</t>
  </si>
  <si>
    <t>504718</t>
  </si>
  <si>
    <t>503264</t>
  </si>
  <si>
    <t>Nicholas M</t>
  </si>
  <si>
    <t>504054</t>
  </si>
  <si>
    <t>Jarvis A</t>
  </si>
  <si>
    <t>007192</t>
  </si>
  <si>
    <t>Hoskins V</t>
  </si>
  <si>
    <t>502213</t>
  </si>
  <si>
    <t>502283</t>
  </si>
  <si>
    <t>502637</t>
  </si>
  <si>
    <t>504009</t>
  </si>
  <si>
    <t>S Stirling</t>
  </si>
  <si>
    <t>S Davies</t>
  </si>
  <si>
    <t>A Morris</t>
  </si>
  <si>
    <t>502735</t>
  </si>
  <si>
    <t>Price A</t>
  </si>
  <si>
    <t>502124</t>
  </si>
  <si>
    <t>Wilding K</t>
  </si>
  <si>
    <t>Clarke L</t>
  </si>
  <si>
    <t>503523</t>
  </si>
  <si>
    <t>502180</t>
  </si>
  <si>
    <t>004789</t>
  </si>
  <si>
    <t>004502</t>
  </si>
  <si>
    <t>005671</t>
  </si>
  <si>
    <t>004975</t>
  </si>
  <si>
    <t>006773</t>
  </si>
  <si>
    <t>505634</t>
  </si>
  <si>
    <t>Heales C</t>
  </si>
  <si>
    <t>191459</t>
  </si>
  <si>
    <t>Career Break Sept 14</t>
  </si>
  <si>
    <t>A Coggins</t>
  </si>
  <si>
    <t>503031</t>
  </si>
  <si>
    <t>Nash C</t>
  </si>
  <si>
    <t>500789</t>
  </si>
  <si>
    <t>Hopkins Eleri</t>
  </si>
  <si>
    <t>Jones, Andrew</t>
  </si>
  <si>
    <t>Laylock Christopher</t>
  </si>
  <si>
    <t>Morgan Laura</t>
  </si>
  <si>
    <t>Roberts Emily</t>
  </si>
  <si>
    <t>Watkins Penny</t>
  </si>
  <si>
    <t>505725</t>
  </si>
  <si>
    <t>505714</t>
  </si>
  <si>
    <t>503171</t>
  </si>
  <si>
    <t>503190</t>
  </si>
  <si>
    <t>503991</t>
  </si>
  <si>
    <t>500784</t>
  </si>
  <si>
    <t>007195</t>
  </si>
  <si>
    <t>506292</t>
  </si>
  <si>
    <t>506290</t>
  </si>
  <si>
    <t>506291</t>
  </si>
  <si>
    <t>Howells, F</t>
  </si>
  <si>
    <t>504698</t>
  </si>
  <si>
    <t>Library Service</t>
  </si>
  <si>
    <t>506278</t>
  </si>
  <si>
    <t>Davies, Helen</t>
  </si>
  <si>
    <t>Davies, Pamela</t>
  </si>
  <si>
    <t>201147</t>
  </si>
  <si>
    <t>Downs, Claire</t>
  </si>
  <si>
    <t>Evans, Barbara</t>
  </si>
  <si>
    <t>004273</t>
  </si>
  <si>
    <t>Briony Fort</t>
  </si>
  <si>
    <t>Goulding, JE</t>
  </si>
  <si>
    <t>Grabner J</t>
  </si>
  <si>
    <t>Humber, Sara</t>
  </si>
  <si>
    <t>Jones, Helen</t>
  </si>
  <si>
    <t>Makarek, Laura</t>
  </si>
  <si>
    <t>O'Callaghan, Rhiannon</t>
  </si>
  <si>
    <t>Parsons, Rachel</t>
  </si>
  <si>
    <t>Roberts, Gwenan</t>
  </si>
  <si>
    <t>Rogers, Rhos</t>
  </si>
  <si>
    <t>Thomas, Michelle</t>
  </si>
  <si>
    <t>Webb, Nick</t>
  </si>
  <si>
    <t>West, Ros</t>
  </si>
  <si>
    <t>Williams, J</t>
  </si>
  <si>
    <t>Williams, K</t>
  </si>
  <si>
    <t>E Bevan</t>
  </si>
  <si>
    <t>H Powell</t>
  </si>
  <si>
    <t>005078</t>
  </si>
  <si>
    <t>500255</t>
  </si>
  <si>
    <t>005885</t>
  </si>
  <si>
    <t>Conway M</t>
  </si>
  <si>
    <t>B Edwards</t>
  </si>
  <si>
    <t>G Pearson</t>
  </si>
  <si>
    <t>J Gardiner</t>
  </si>
  <si>
    <t>503700</t>
  </si>
  <si>
    <t>502634</t>
  </si>
  <si>
    <t>502733</t>
  </si>
  <si>
    <t>C Skinner</t>
  </si>
  <si>
    <t>190786</t>
  </si>
  <si>
    <t>Nil</t>
  </si>
  <si>
    <t>Helen Sansom</t>
  </si>
  <si>
    <t>Julie Gasson</t>
  </si>
  <si>
    <t>006753</t>
  </si>
  <si>
    <t>Allison Williamson</t>
  </si>
  <si>
    <t>Whitely, K</t>
  </si>
  <si>
    <t>506149</t>
  </si>
  <si>
    <t>M Brunton</t>
  </si>
  <si>
    <t>Kerrie Martin</t>
  </si>
  <si>
    <t>505230</t>
  </si>
  <si>
    <t>Joanna Box</t>
  </si>
  <si>
    <t>Simon Carnell</t>
  </si>
  <si>
    <t>505569</t>
  </si>
  <si>
    <t>S Jenkins</t>
  </si>
  <si>
    <t>503346</t>
  </si>
  <si>
    <t>Career Break 2 Years</t>
  </si>
  <si>
    <t>Harrison ES</t>
  </si>
  <si>
    <t>Miles L</t>
  </si>
  <si>
    <t>A Dennehy</t>
  </si>
  <si>
    <t>N Burgham</t>
  </si>
  <si>
    <t>503500</t>
  </si>
  <si>
    <t>H Adams</t>
  </si>
  <si>
    <t>M Imm</t>
  </si>
  <si>
    <t>L Pheasant</t>
  </si>
  <si>
    <t>G Morgan</t>
  </si>
  <si>
    <t>E Pitt</t>
  </si>
  <si>
    <t>H Botting</t>
  </si>
  <si>
    <t>Ruth Wyatt</t>
  </si>
  <si>
    <t>503242</t>
  </si>
  <si>
    <t>005218</t>
  </si>
  <si>
    <t>007178</t>
  </si>
  <si>
    <t>A Richards</t>
  </si>
  <si>
    <t>A Lewis</t>
  </si>
  <si>
    <t>KA Collins</t>
  </si>
  <si>
    <t>506279</t>
  </si>
  <si>
    <t>004920</t>
  </si>
  <si>
    <t>500451</t>
  </si>
  <si>
    <t>S Preston</t>
  </si>
  <si>
    <t>501074</t>
  </si>
  <si>
    <t>503538</t>
  </si>
  <si>
    <t>Carys Glyn</t>
  </si>
  <si>
    <t>503245</t>
  </si>
  <si>
    <t>Nia Evans</t>
  </si>
  <si>
    <t>Lauren Anthony</t>
  </si>
  <si>
    <t>Osman R</t>
  </si>
  <si>
    <t>Buoy L</t>
  </si>
  <si>
    <t>Pearce A</t>
  </si>
  <si>
    <t>Patterson H</t>
  </si>
  <si>
    <t>Ritter A</t>
  </si>
  <si>
    <t>Bland P</t>
  </si>
  <si>
    <t>Atkins D</t>
  </si>
  <si>
    <t>Lewis A</t>
  </si>
  <si>
    <t>Curnow A</t>
  </si>
  <si>
    <t>Connolly S</t>
  </si>
  <si>
    <t>Draper L</t>
  </si>
  <si>
    <t>Adams E</t>
  </si>
  <si>
    <t>Jarvis S</t>
  </si>
  <si>
    <t>Biddle E</t>
  </si>
  <si>
    <t>Michael P</t>
  </si>
  <si>
    <t>Sinkowski G</t>
  </si>
  <si>
    <t>Trawford L</t>
  </si>
  <si>
    <t>506552</t>
  </si>
  <si>
    <t>504384</t>
  </si>
  <si>
    <t>506539</t>
  </si>
  <si>
    <t>506564</t>
  </si>
  <si>
    <t>506653</t>
  </si>
  <si>
    <t>504732</t>
  </si>
  <si>
    <t>506536</t>
  </si>
  <si>
    <t>500319</t>
  </si>
  <si>
    <t>504731</t>
  </si>
  <si>
    <t>505263</t>
  </si>
  <si>
    <t>505815</t>
  </si>
  <si>
    <t>504086</t>
  </si>
  <si>
    <t>504720</t>
  </si>
  <si>
    <t>506540</t>
  </si>
  <si>
    <t>280636</t>
  </si>
  <si>
    <t>Davies, Natalie</t>
  </si>
  <si>
    <t>504099</t>
  </si>
  <si>
    <t>503803</t>
  </si>
  <si>
    <t>Maloney, Susan</t>
  </si>
  <si>
    <t>Gosling, H</t>
  </si>
  <si>
    <t>Edwards J</t>
  </si>
  <si>
    <t>Giddy J</t>
  </si>
  <si>
    <t>Sturgess C</t>
  </si>
  <si>
    <t>Hendry S</t>
  </si>
  <si>
    <t>503871</t>
  </si>
  <si>
    <t>Morgan O</t>
  </si>
  <si>
    <t>Williams Joanne</t>
  </si>
  <si>
    <t>Willis A</t>
  </si>
  <si>
    <t>Urch R</t>
  </si>
  <si>
    <t>Dorman, M</t>
  </si>
  <si>
    <t>Thomas, M</t>
  </si>
  <si>
    <t>S Giddy</t>
  </si>
  <si>
    <t>504010</t>
  </si>
  <si>
    <t>506100</t>
  </si>
  <si>
    <t>503678</t>
  </si>
  <si>
    <t>506042</t>
  </si>
  <si>
    <t>506297</t>
  </si>
  <si>
    <t>506550</t>
  </si>
  <si>
    <t>UPS 1                 All Year</t>
  </si>
  <si>
    <t>Axon S</t>
  </si>
  <si>
    <t>Blackaby, Alison</t>
  </si>
  <si>
    <t>004253</t>
  </si>
  <si>
    <t>Burns J</t>
  </si>
  <si>
    <t>Evans, Kirsty</t>
  </si>
  <si>
    <t>504857</t>
  </si>
  <si>
    <t>Hall, Claire</t>
  </si>
  <si>
    <t>Handford, Matthew</t>
  </si>
  <si>
    <t>504724</t>
  </si>
  <si>
    <t>Hudu R</t>
  </si>
  <si>
    <t>Isaac, Sian</t>
  </si>
  <si>
    <t>501753</t>
  </si>
  <si>
    <t>Jones, Ceri</t>
  </si>
  <si>
    <t>502642</t>
  </si>
  <si>
    <t>King C</t>
  </si>
  <si>
    <t>006183</t>
  </si>
  <si>
    <t>Lavelle, Allan</t>
  </si>
  <si>
    <t>004297</t>
  </si>
  <si>
    <t>Middleton, Fay</t>
  </si>
  <si>
    <t>004303</t>
  </si>
  <si>
    <t>Monday, Moyanne</t>
  </si>
  <si>
    <t>004305</t>
  </si>
  <si>
    <t>Moulton, Cara</t>
  </si>
  <si>
    <t>006547</t>
  </si>
  <si>
    <t>Paige, Francis</t>
  </si>
  <si>
    <t>506948</t>
  </si>
  <si>
    <t>Pendre, Helen</t>
  </si>
  <si>
    <t>Powell, Rianon</t>
  </si>
  <si>
    <t>Pritchard M</t>
  </si>
  <si>
    <t>Rawlings, Susan</t>
  </si>
  <si>
    <t>004318</t>
  </si>
  <si>
    <t>Shuttleworth, Alison</t>
  </si>
  <si>
    <t>004326</t>
  </si>
  <si>
    <t>Stevens, Laura</t>
  </si>
  <si>
    <t>Strong, Peter</t>
  </si>
  <si>
    <t>004331</t>
  </si>
  <si>
    <t>Thomas, Kathryn</t>
  </si>
  <si>
    <t>004333</t>
  </si>
  <si>
    <t>Titlow, Stephen</t>
  </si>
  <si>
    <t>004335</t>
  </si>
  <si>
    <t>Watkins S</t>
  </si>
  <si>
    <t>Weston, Jayne</t>
  </si>
  <si>
    <t>004347</t>
  </si>
  <si>
    <r>
      <t xml:space="preserve">UPS 1 </t>
    </r>
    <r>
      <rPr>
        <sz val="10"/>
        <rFont val="Arial"/>
        <family val="2"/>
      </rPr>
      <t xml:space="preserve">                </t>
    </r>
    <r>
      <rPr>
        <b/>
        <sz val="10"/>
        <rFont val="Arial"/>
        <family val="2"/>
      </rPr>
      <t>All Year</t>
    </r>
  </si>
  <si>
    <t>Bevan, Stella</t>
  </si>
  <si>
    <t>004517</t>
  </si>
  <si>
    <t>Williamson A M</t>
  </si>
  <si>
    <t>l Brear</t>
  </si>
  <si>
    <t>501363</t>
  </si>
  <si>
    <t>Burrows, J</t>
  </si>
  <si>
    <t>007047</t>
  </si>
  <si>
    <t>Clarke, AD</t>
  </si>
  <si>
    <t>004165</t>
  </si>
  <si>
    <t>Currie, KJ</t>
  </si>
  <si>
    <t>004171</t>
  </si>
  <si>
    <t>Goddard, J</t>
  </si>
  <si>
    <t>004182</t>
  </si>
  <si>
    <t>Isgrove F H</t>
  </si>
  <si>
    <t>005957</t>
  </si>
  <si>
    <t>Johns, GJ</t>
  </si>
  <si>
    <t>004201</t>
  </si>
  <si>
    <t>Jones, DE</t>
  </si>
  <si>
    <t>004205</t>
  </si>
  <si>
    <t>Jones, NW</t>
  </si>
  <si>
    <t>004208</t>
  </si>
  <si>
    <t>Jones, R</t>
  </si>
  <si>
    <t>007177</t>
  </si>
  <si>
    <t>Jones, W</t>
  </si>
  <si>
    <t>004210</t>
  </si>
  <si>
    <t>Lamb, J</t>
  </si>
  <si>
    <t>005111</t>
  </si>
  <si>
    <t>Lewis, JM</t>
  </si>
  <si>
    <t>004215</t>
  </si>
  <si>
    <t>Mellen, E</t>
  </si>
  <si>
    <t>006665</t>
  </si>
  <si>
    <t>Orr, AS</t>
  </si>
  <si>
    <t>004225</t>
  </si>
  <si>
    <t xml:space="preserve">Wilson, D </t>
  </si>
  <si>
    <t>004244</t>
  </si>
  <si>
    <t>Cornish A</t>
  </si>
  <si>
    <t>502646</t>
  </si>
  <si>
    <t>L Bush</t>
  </si>
  <si>
    <t>S Hanner</t>
  </si>
  <si>
    <t>006657</t>
  </si>
  <si>
    <t>A Baillon-Jones</t>
  </si>
  <si>
    <t xml:space="preserve">L.Wilkinson </t>
  </si>
  <si>
    <t>006117</t>
  </si>
  <si>
    <t>A Ingleton</t>
  </si>
  <si>
    <t>502220</t>
  </si>
  <si>
    <t>Sian Prangell</t>
  </si>
  <si>
    <t>506835</t>
  </si>
  <si>
    <t>FINANCIAL YEAR 2015-16</t>
  </si>
  <si>
    <t>Bizzari, Andrea</t>
  </si>
  <si>
    <t>004041</t>
  </si>
  <si>
    <t>Brasington Karen</t>
  </si>
  <si>
    <t>Corken Kate</t>
  </si>
  <si>
    <t>Davies, C J</t>
  </si>
  <si>
    <t>004058</t>
  </si>
  <si>
    <t>Davies, W</t>
  </si>
  <si>
    <t>005141</t>
  </si>
  <si>
    <t>Edwards, Beverley</t>
  </si>
  <si>
    <t>Edwards, P</t>
  </si>
  <si>
    <t>501849</t>
  </si>
  <si>
    <t>Evans Amy</t>
  </si>
  <si>
    <t>Evans Paul</t>
  </si>
  <si>
    <t>Gilson, Richard</t>
  </si>
  <si>
    <t>Griffiths, S. Mark</t>
  </si>
  <si>
    <t>Pearman, Claire</t>
  </si>
  <si>
    <t>Hill Cerian</t>
  </si>
  <si>
    <t>Hughes, Geoffrey Glanffrwd</t>
  </si>
  <si>
    <t>004073</t>
  </si>
  <si>
    <t>James, Corienne</t>
  </si>
  <si>
    <t>Jones Julien</t>
  </si>
  <si>
    <t>Jones, Matthew Herbert-</t>
  </si>
  <si>
    <t>Keepence Sarah</t>
  </si>
  <si>
    <t>Klappholz David</t>
  </si>
  <si>
    <t>Morgan, Kim-Ann</t>
  </si>
  <si>
    <t>Nicholls, Ismanah</t>
  </si>
  <si>
    <t>Phillips, Leanne</t>
  </si>
  <si>
    <t>Powell, ME</t>
  </si>
  <si>
    <t>004109</t>
  </si>
  <si>
    <t>Rees, Delyth</t>
  </si>
  <si>
    <t>004106</t>
  </si>
  <si>
    <t>Morgan J</t>
  </si>
  <si>
    <t>500996</t>
  </si>
  <si>
    <t>Povall, Neil</t>
  </si>
  <si>
    <t>Precious, Sian</t>
  </si>
  <si>
    <t>Spooner, Paul</t>
  </si>
  <si>
    <t>Stockham Mark</t>
  </si>
  <si>
    <t>Sutton, Richard</t>
  </si>
  <si>
    <t>Trew Llian</t>
  </si>
  <si>
    <t>Williams, Nicola</t>
  </si>
  <si>
    <t>Leyshon, Danielle</t>
  </si>
  <si>
    <t>Farmer, Kate</t>
  </si>
  <si>
    <t>May, Martin</t>
  </si>
  <si>
    <t>505863</t>
  </si>
  <si>
    <t>Bradford, Victoria</t>
  </si>
  <si>
    <t>Williams, Dominic</t>
  </si>
  <si>
    <t>Jones, Alison</t>
  </si>
  <si>
    <t>Chivers, Nia</t>
  </si>
  <si>
    <t>506952</t>
  </si>
  <si>
    <t>Francis, Alexandra</t>
  </si>
  <si>
    <t>501350</t>
  </si>
  <si>
    <t>Taylor, Rhiannon</t>
  </si>
  <si>
    <t>506951</t>
  </si>
  <si>
    <t>Watkins, Laura</t>
  </si>
  <si>
    <t>504734</t>
  </si>
  <si>
    <t>TOTALS (BY COLUMN)</t>
  </si>
  <si>
    <t>Merrett E</t>
  </si>
  <si>
    <t>504774</t>
  </si>
  <si>
    <t>James, Heather</t>
  </si>
  <si>
    <t>004494</t>
  </si>
  <si>
    <t>504105</t>
  </si>
  <si>
    <t>Davies, Matthew</t>
  </si>
  <si>
    <t>Oram S.D.</t>
  </si>
  <si>
    <t>006668</t>
  </si>
  <si>
    <t>Toombs, Melissa</t>
  </si>
  <si>
    <t>004655</t>
  </si>
  <si>
    <t>L.S. Haskins</t>
  </si>
  <si>
    <t>004645</t>
  </si>
  <si>
    <t>John H</t>
  </si>
  <si>
    <t>500688</t>
  </si>
  <si>
    <t>Bradley, Lesley Ann</t>
  </si>
  <si>
    <t>004425</t>
  </si>
  <si>
    <t>Hassell, Susan Jennifer</t>
  </si>
  <si>
    <t>005456</t>
  </si>
  <si>
    <t>Hampshire C B</t>
  </si>
  <si>
    <t>005608</t>
  </si>
  <si>
    <t>Hawkins A J</t>
  </si>
  <si>
    <t>006288</t>
  </si>
  <si>
    <t>Hayes H</t>
  </si>
  <si>
    <t>501899</t>
  </si>
  <si>
    <t>504727</t>
  </si>
  <si>
    <t>Osborne, Jonathan David</t>
  </si>
  <si>
    <t>004394</t>
  </si>
  <si>
    <t>Price D C</t>
  </si>
  <si>
    <t>006286</t>
  </si>
  <si>
    <t>Sims, Robert Norwood</t>
  </si>
  <si>
    <t>004475</t>
  </si>
  <si>
    <t>Lucas J C</t>
  </si>
  <si>
    <t>500965</t>
  </si>
  <si>
    <t>Howes Stephen</t>
  </si>
  <si>
    <t>501905</t>
  </si>
  <si>
    <t>Simmonds L</t>
  </si>
  <si>
    <t>Lane, J</t>
  </si>
  <si>
    <t>506966</t>
  </si>
  <si>
    <t>Stocks, S</t>
  </si>
  <si>
    <t>505259</t>
  </si>
  <si>
    <t>LeBeouf, J</t>
  </si>
  <si>
    <t>505258</t>
  </si>
  <si>
    <t>Feldon, H</t>
  </si>
  <si>
    <t>504729</t>
  </si>
  <si>
    <t>Johnston, C</t>
  </si>
  <si>
    <t>504932</t>
  </si>
  <si>
    <t>Bolt, J</t>
  </si>
  <si>
    <t>505260</t>
  </si>
  <si>
    <t>Thomas, H</t>
  </si>
  <si>
    <t>504719</t>
  </si>
  <si>
    <t>Parkinson, J</t>
  </si>
  <si>
    <t>504746</t>
  </si>
  <si>
    <t>Jenkins, S</t>
  </si>
  <si>
    <t>504721</t>
  </si>
  <si>
    <t>Mellon, D</t>
  </si>
  <si>
    <t>506789</t>
  </si>
  <si>
    <t>Smith, H</t>
  </si>
  <si>
    <t>504730</t>
  </si>
  <si>
    <t>Cowton, J</t>
  </si>
  <si>
    <t>502034</t>
  </si>
  <si>
    <t>Heslop, S</t>
  </si>
  <si>
    <t>506990</t>
  </si>
  <si>
    <t>Williams, R</t>
  </si>
  <si>
    <t>507092</t>
  </si>
  <si>
    <t>Lloyd, M</t>
  </si>
  <si>
    <t>507070</t>
  </si>
  <si>
    <t>Price, C</t>
  </si>
  <si>
    <t>507081</t>
  </si>
  <si>
    <t>Connoly, S</t>
  </si>
  <si>
    <t>Obermaier V</t>
  </si>
  <si>
    <t>504911</t>
  </si>
  <si>
    <t>Swain D</t>
  </si>
  <si>
    <t>507024</t>
  </si>
  <si>
    <t>Janette Disson</t>
  </si>
  <si>
    <t>501498</t>
  </si>
  <si>
    <t>Gooding C</t>
  </si>
  <si>
    <t>506942</t>
  </si>
  <si>
    <t>Lewis C</t>
  </si>
  <si>
    <t>Abbot Smith, Jennifer Ruth</t>
  </si>
  <si>
    <t>004667</t>
  </si>
  <si>
    <t>Mason H R</t>
  </si>
  <si>
    <t>004972</t>
  </si>
  <si>
    <t>an Other</t>
  </si>
  <si>
    <t>N Gething  (possibly on payroll as Morgan)</t>
  </si>
  <si>
    <t>500675</t>
  </si>
  <si>
    <t>Walsh K</t>
  </si>
  <si>
    <t>501515</t>
  </si>
  <si>
    <t>Oliver-Browning,S</t>
  </si>
  <si>
    <t>004730</t>
  </si>
  <si>
    <t>C Grunis</t>
  </si>
  <si>
    <t>500926</t>
  </si>
  <si>
    <t>N.H.Smith</t>
  </si>
  <si>
    <t>Welsford, June Elizabeth</t>
  </si>
  <si>
    <t>004574</t>
  </si>
  <si>
    <t>Humphries M</t>
  </si>
  <si>
    <t>505801</t>
  </si>
  <si>
    <t>Peckham E</t>
  </si>
  <si>
    <t>504185</t>
  </si>
  <si>
    <t>Hornbuckle F</t>
  </si>
  <si>
    <t>506826</t>
  </si>
  <si>
    <t>J.Hopkins</t>
  </si>
  <si>
    <t>005148</t>
  </si>
  <si>
    <t>Williams, MJ</t>
  </si>
  <si>
    <t>004558</t>
  </si>
  <si>
    <t>Northey A</t>
  </si>
  <si>
    <t>504051</t>
  </si>
  <si>
    <t>L Carlton</t>
  </si>
  <si>
    <t>N Burrows</t>
  </si>
  <si>
    <t>J Howell</t>
  </si>
  <si>
    <t>006130</t>
  </si>
  <si>
    <t>Rebecca Watkins</t>
  </si>
  <si>
    <t>504008</t>
  </si>
  <si>
    <t>P.A. Hill</t>
  </si>
  <si>
    <t>005413</t>
  </si>
  <si>
    <t>Ellie Roach-Rooke</t>
  </si>
  <si>
    <t>506530</t>
  </si>
  <si>
    <t>North, Wendy</t>
  </si>
  <si>
    <t>004716</t>
  </si>
  <si>
    <t>Box J</t>
  </si>
  <si>
    <t>S Lloyd</t>
  </si>
  <si>
    <t>506323</t>
  </si>
  <si>
    <t>Rachel Blight Pitt</t>
  </si>
  <si>
    <t>506943</t>
  </si>
  <si>
    <t>C Matthews</t>
  </si>
  <si>
    <t>004875</t>
  </si>
  <si>
    <t>RM O'DONOGHUE</t>
  </si>
  <si>
    <t>004618</t>
  </si>
  <si>
    <t>S THOMAS</t>
  </si>
  <si>
    <t>004622</t>
  </si>
  <si>
    <t>Marie Lewis</t>
  </si>
  <si>
    <t>004795</t>
  </si>
  <si>
    <t>J A Watkins</t>
  </si>
  <si>
    <t>004801</t>
  </si>
  <si>
    <t>J.R.Child</t>
  </si>
  <si>
    <t>004499</t>
  </si>
  <si>
    <t>S.YOUNG</t>
  </si>
  <si>
    <t>005098</t>
  </si>
  <si>
    <t>R Grant (retiring Sept 2011)</t>
  </si>
  <si>
    <t>004805</t>
  </si>
  <si>
    <t>A Melmoth</t>
  </si>
  <si>
    <t>004806</t>
  </si>
  <si>
    <t>B Atkins</t>
  </si>
  <si>
    <t>501583</t>
  </si>
  <si>
    <t>O Neill L</t>
  </si>
  <si>
    <t>007104</t>
  </si>
  <si>
    <t>S.TOKAR</t>
  </si>
  <si>
    <t>501931</t>
  </si>
  <si>
    <t>Millard N</t>
  </si>
  <si>
    <t>S Collins</t>
  </si>
  <si>
    <t>Rhys GS</t>
  </si>
  <si>
    <t>Dyer, I</t>
  </si>
  <si>
    <t>506296</t>
  </si>
  <si>
    <t>504276</t>
  </si>
  <si>
    <t>Stone J G</t>
  </si>
  <si>
    <t>(c)Post 16 Allocation including Mainstream</t>
  </si>
  <si>
    <t>Post 16 SEN</t>
  </si>
  <si>
    <t>Unit Funding / In Reach Centres</t>
  </si>
  <si>
    <t xml:space="preserve"> School Budget Share for Financial Year 1st of April 2022 to 31st March 2023</t>
  </si>
  <si>
    <t xml:space="preserve">SNRB Band Funding </t>
  </si>
  <si>
    <t xml:space="preserve">Delegated Funding </t>
  </si>
  <si>
    <t>September 2021</t>
  </si>
  <si>
    <t>S52 EDUCATION BUDGET STATEMENT</t>
  </si>
  <si>
    <t>Year:</t>
  </si>
  <si>
    <t>LEA Name: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</si>
  <si>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</si>
  <si>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</si>
  <si>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</si>
  <si>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</si>
  <si>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</si>
  <si>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</si>
  <si>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</si>
  <si>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</si>
  <si>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</si>
  <si>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School name</t>
  </si>
  <si>
    <t>Official</t>
  </si>
  <si>
    <t>School</t>
  </si>
  <si>
    <t>Date</t>
  </si>
  <si>
    <t>Number</t>
  </si>
  <si>
    <t>Budget share</t>
  </si>
  <si>
    <t>Notional</t>
  </si>
  <si>
    <t>Non-ISB Funds</t>
  </si>
  <si>
    <t>reference</t>
  </si>
  <si>
    <t>opening/</t>
  </si>
  <si>
    <t>of</t>
  </si>
  <si>
    <t>Per</t>
  </si>
  <si>
    <t>S.E.N.</t>
  </si>
  <si>
    <t>devolved to</t>
  </si>
  <si>
    <t>number</t>
  </si>
  <si>
    <t>closing</t>
  </si>
  <si>
    <t>pupils</t>
  </si>
  <si>
    <t>school</t>
  </si>
  <si>
    <t>pupil</t>
  </si>
  <si>
    <t>budget</t>
  </si>
  <si>
    <t>schools</t>
  </si>
  <si>
    <t>O/C</t>
  </si>
  <si>
    <t>£k</t>
  </si>
  <si>
    <t xml:space="preserve">Primary schools          </t>
  </si>
  <si>
    <t xml:space="preserve"> </t>
  </si>
  <si>
    <t>Gilwern Primary School</t>
  </si>
  <si>
    <t>Goytre Fawr Primary</t>
  </si>
  <si>
    <t>Undy Primary School</t>
  </si>
  <si>
    <t>Rogiet County Primary</t>
  </si>
  <si>
    <t>Pembroke Primary</t>
  </si>
  <si>
    <t>Llanvihangel Crucorney County Primary School</t>
  </si>
  <si>
    <t>Thornwell Primary School</t>
  </si>
  <si>
    <t>Durand Primary School</t>
  </si>
  <si>
    <t>Llandogo Primary</t>
  </si>
  <si>
    <t>Shirenewton Primary School</t>
  </si>
  <si>
    <t>Trellech Junior &amp; Infants</t>
  </si>
  <si>
    <t>The Dell Primary</t>
  </si>
  <si>
    <t>Overmonnow Primary School</t>
  </si>
  <si>
    <t>Cross Ash County Primary School</t>
  </si>
  <si>
    <t>Ysgol Gymraeg Y Fenni</t>
  </si>
  <si>
    <t>Ysgol Gymraeg Y Ffin</t>
  </si>
  <si>
    <t>Cantref Primary</t>
  </si>
  <si>
    <t>Deri View Primary School</t>
  </si>
  <si>
    <t>Kymin View Primary School</t>
  </si>
  <si>
    <t>Castle Park Primary School</t>
  </si>
  <si>
    <t>Llanfoist Fawr Primary</t>
  </si>
  <si>
    <t>Dewstow</t>
  </si>
  <si>
    <t>Llantilio Pertholey Cv Primary</t>
  </si>
  <si>
    <t>Usk Primary School</t>
  </si>
  <si>
    <t>Raglan Primary</t>
  </si>
  <si>
    <t>Osbaston Church In Wales School</t>
  </si>
  <si>
    <t>Magor V A Primary School</t>
  </si>
  <si>
    <t>Our Lady &amp; St Michael's Rc</t>
  </si>
  <si>
    <t>St Mary's R.C.P.School</t>
  </si>
  <si>
    <t>Archbishop Rowan Williams VA</t>
  </si>
  <si>
    <t>(10)   Totals/average primary schools</t>
  </si>
  <si>
    <t xml:space="preserve">Secondary schools          </t>
  </si>
  <si>
    <t>Monmouth Comprehensive School</t>
  </si>
  <si>
    <t>King Henry Viii Comprehensive</t>
  </si>
  <si>
    <t>Chepstow Comprehensive School</t>
  </si>
  <si>
    <t>Caldicot School</t>
  </si>
  <si>
    <t>(11)   Totals/average secondary schools</t>
  </si>
  <si>
    <t>(13)   Totals for all schools</t>
  </si>
  <si>
    <t>Section 52 Budget Statement Table 2: Formula Factors</t>
  </si>
  <si>
    <t xml:space="preserve">(A) Pupil-led Funding </t>
  </si>
  <si>
    <t xml:space="preserve">Age Weighted Pupil Funding </t>
  </si>
  <si>
    <t>Pupil Numbers F.T.E</t>
  </si>
  <si>
    <t xml:space="preserve">Funding per pupil </t>
  </si>
  <si>
    <t>Total Funding £'000'</t>
  </si>
  <si>
    <t xml:space="preserve">Year Group </t>
  </si>
  <si>
    <t xml:space="preserve">Main </t>
  </si>
  <si>
    <t>Welsh</t>
  </si>
  <si>
    <t xml:space="preserve">School Meals </t>
  </si>
  <si>
    <t>3 - 4</t>
  </si>
  <si>
    <t>4 - 5</t>
  </si>
  <si>
    <t>5 - 6</t>
  </si>
  <si>
    <t>6 - 7</t>
  </si>
  <si>
    <t>7 - 8</t>
  </si>
  <si>
    <t>8 - 9</t>
  </si>
  <si>
    <t>9 - 10</t>
  </si>
  <si>
    <t>10 - 11</t>
  </si>
  <si>
    <t>11 - 12</t>
  </si>
  <si>
    <t>12 - 13</t>
  </si>
  <si>
    <t>13 - 14</t>
  </si>
  <si>
    <t>14 - 15</t>
  </si>
  <si>
    <t>15 - 16</t>
  </si>
  <si>
    <t>Nursery</t>
  </si>
  <si>
    <t xml:space="preserve">Primary </t>
  </si>
  <si>
    <t xml:space="preserve">Secondary </t>
  </si>
  <si>
    <t>Post 16 Funding</t>
  </si>
  <si>
    <t>Method: Pupil Numbers are those based on the PLASC (Pupil Level Annual School Censes) taken in September 2020</t>
  </si>
  <si>
    <t>The Age Weighted Pupil Funding includes funding for:</t>
  </si>
  <si>
    <t>Teaching Staff</t>
  </si>
  <si>
    <t>Performance Management</t>
  </si>
  <si>
    <t xml:space="preserve">For Welsh Medium there has been an uplift of 10% </t>
  </si>
  <si>
    <t xml:space="preserve">School Administration Staff </t>
  </si>
  <si>
    <t>Cleaning (20% of the total budget)</t>
  </si>
  <si>
    <t>on funding for non-teaching staff and for allowances</t>
  </si>
  <si>
    <t>Midday Supervisors</t>
  </si>
  <si>
    <t>General Allowances</t>
  </si>
  <si>
    <t>Exam Fees</t>
  </si>
  <si>
    <t>Free Staff Meals</t>
  </si>
  <si>
    <t>Water</t>
  </si>
  <si>
    <t>Refuse</t>
  </si>
  <si>
    <t>Payroll central services</t>
  </si>
  <si>
    <t xml:space="preserve">Employee Advertising </t>
  </si>
  <si>
    <t>Energy costs (20% of total budget)</t>
  </si>
  <si>
    <t>Building Maintenance (50% of the total budget)</t>
  </si>
  <si>
    <t>Supply cover scheme</t>
  </si>
  <si>
    <t>Workforce Remodelling</t>
  </si>
  <si>
    <t>School Meal Provisions (where applicable)</t>
  </si>
  <si>
    <t>Grounds Maintenance (20% of total budget)</t>
  </si>
  <si>
    <t>School Licences and Insurance</t>
  </si>
  <si>
    <r>
      <rPr>
        <b/>
        <sz val="10"/>
        <rFont val="Arial"/>
        <family val="2"/>
      </rPr>
      <t>Class Size Initiative Funding</t>
    </r>
    <r>
      <rPr>
        <sz val="10"/>
        <rFont val="Arial"/>
        <family val="2"/>
      </rPr>
      <t xml:space="preserve"> is provided where pupil numbers are not multiples of 30. </t>
    </r>
  </si>
  <si>
    <t xml:space="preserve">Funding per Pupil </t>
  </si>
  <si>
    <t>%</t>
  </si>
  <si>
    <r>
      <rPr>
        <b/>
        <sz val="10"/>
        <rFont val="Arial"/>
        <family val="2"/>
      </rPr>
      <t>Deprivation Funding</t>
    </r>
    <r>
      <rPr>
        <sz val="10"/>
        <rFont val="Arial"/>
        <family val="2"/>
      </rPr>
      <t xml:space="preserve">: Delegated to schools outside of S.E.N and based on pupil Eligibility to a </t>
    </r>
  </si>
  <si>
    <t xml:space="preserve">Free School Meal as a percentage of the total pupil roll. Only schools where the percentage </t>
  </si>
  <si>
    <t>is greater than 15% receive funding.</t>
  </si>
  <si>
    <t xml:space="preserve">Pupil Led SEN Funding </t>
  </si>
  <si>
    <t>Without Statements £'000'</t>
  </si>
  <si>
    <t>With Statements £'000'</t>
  </si>
  <si>
    <t>(B) S.E.N Funding treated as pupil-led</t>
  </si>
  <si>
    <t xml:space="preserve">Place-led S.E.N funding </t>
  </si>
  <si>
    <t>Place Numbers</t>
  </si>
  <si>
    <t>Funding per Place</t>
  </si>
  <si>
    <t>Units</t>
  </si>
  <si>
    <t>Secondary M.L.D</t>
  </si>
  <si>
    <t>Primary Assessment Unit</t>
  </si>
  <si>
    <t>S.E.N Learning Resource Base Centre</t>
  </si>
  <si>
    <t>Primary M.L.D/E.B.D</t>
  </si>
  <si>
    <t xml:space="preserve">TOTAL </t>
  </si>
  <si>
    <t xml:space="preserve">M.L.D Moderate Learning Difficulties </t>
  </si>
  <si>
    <t xml:space="preserve">E.B.D Emotional and Behavioural Difficulties </t>
  </si>
  <si>
    <t>Funding is allocated based on actual staff at the units and additional resources needed.</t>
  </si>
  <si>
    <t>(C) Other Funding</t>
  </si>
  <si>
    <t>Additional Educational Needs Factors</t>
  </si>
  <si>
    <t>Head/Deputies/Assistants   £'000'</t>
  </si>
  <si>
    <t>Administration £'000'</t>
  </si>
  <si>
    <t>Foreign Language Assistants £'000'</t>
  </si>
  <si>
    <t>Salary Protection and JE £'000'</t>
  </si>
  <si>
    <t>Funding Bases</t>
  </si>
  <si>
    <t xml:space="preserve">Primary Schools </t>
  </si>
  <si>
    <t>Group 1 under 50: Head Teacher 2 Days a week plus 20% funding of a School Administrator</t>
  </si>
  <si>
    <t>Group 1 School under 100 pupils : Head Teacher 4 Days a week plus 20% funding of a School Administrator</t>
  </si>
  <si>
    <t>Group 1 School over 100 pupils : Head and Deputy Salary at midpoint of the Monmouthshire recommended range for a Group 1 School plus 20% funding of a School Administrator.</t>
  </si>
  <si>
    <t>Group 2 School : Head and Deputy Salary at midpoint of the Monmouthshire recommended range for a Group 2 School plus 20% funding of a School Administrator</t>
  </si>
  <si>
    <t>Group 3 School : Head and Deputy Salary at midpoint of the Monmouthshire recommended range for a Group 3 School plus 20% funding of a School Administrator</t>
  </si>
  <si>
    <t xml:space="preserve">Secondary Schools </t>
  </si>
  <si>
    <t>Head, Deputies and Assistants funded at midpoint of the Monmouthshire recommended range</t>
  </si>
  <si>
    <t>Salary protection is the actual difference between the post value and salary paid. Job Evaluation (JE) Funding given to schools for staff that increased as a result of Single Status</t>
  </si>
  <si>
    <t>Site Specific Factors</t>
  </si>
  <si>
    <t>Caretakers £'000'</t>
  </si>
  <si>
    <t>Cleaning £'000'</t>
  </si>
  <si>
    <t>Rates £'000'</t>
  </si>
  <si>
    <t>Grounds £'000'</t>
  </si>
  <si>
    <t>Energy £'000'</t>
  </si>
  <si>
    <t>Building Maintenance £'000'</t>
  </si>
  <si>
    <t>Caretakers</t>
  </si>
  <si>
    <t>Group 1 School funded for half of caretaker</t>
  </si>
  <si>
    <t>Group 2 School funded for one caretaker</t>
  </si>
  <si>
    <t>Group 3 School funded for one caretaker</t>
  </si>
  <si>
    <t>Secondary Schools are funded for one caretaker and one assistant caretaker</t>
  </si>
  <si>
    <t>80% of the budget is distributed based on floor area at the school</t>
  </si>
  <si>
    <t>This is funded based on the rateable value of individual school premises</t>
  </si>
  <si>
    <t>80% of the budget is distributed based on total grounds area of the school</t>
  </si>
  <si>
    <t>This is calculated based on floor area of the premises weighted by a condition factor of the school building</t>
  </si>
  <si>
    <t>50% of the budget is delegated based on floor area at the school</t>
  </si>
  <si>
    <t>School Specific Factors</t>
  </si>
  <si>
    <t>Governors £'000'</t>
  </si>
  <si>
    <t>Finance £'000'</t>
  </si>
  <si>
    <t>Maternity £'000'</t>
  </si>
  <si>
    <t>Central ICT £'000'</t>
  </si>
  <si>
    <t>Personnel £'000'</t>
  </si>
  <si>
    <t>Creditors £'000'</t>
  </si>
  <si>
    <t>Threshold £'000'</t>
  </si>
  <si>
    <t>Nursery Nurses £'000'</t>
  </si>
  <si>
    <t>Lifeguard £'000'</t>
  </si>
  <si>
    <t>Joint Leisure £'000'</t>
  </si>
  <si>
    <t>Governor Services, Finance, Maternity, Central ICT, Personnel and Creditors funding is calculated based on school size (Group)</t>
  </si>
  <si>
    <t>Nursery Nurses funding is based on a lump sum payment based on a proportion of a Support Staff salary dependant in the size (group) of the school and a further full time support</t>
  </si>
  <si>
    <t xml:space="preserve">member of staff is funded to those schools with a Nursery Unit </t>
  </si>
  <si>
    <t>Lifeguard and Joint Leisure is a ring fenced contribution to this provision and is calculated based on the estimated usage of leisure facilities by individual schools</t>
  </si>
  <si>
    <t xml:space="preserve">Total </t>
  </si>
  <si>
    <t xml:space="preserve">2 (B) Special Schools </t>
  </si>
  <si>
    <t xml:space="preserve">(A) Placed-led Funding </t>
  </si>
  <si>
    <t xml:space="preserve">Place Numbers </t>
  </si>
  <si>
    <t xml:space="preserve">Funding per place </t>
  </si>
  <si>
    <t>Funds Allocated £'000'</t>
  </si>
  <si>
    <t>EBD</t>
  </si>
  <si>
    <t xml:space="preserve">Residential </t>
  </si>
  <si>
    <t xml:space="preserve">Funding is based on places and not pupils. The amount of funding per place is linked to the appropriate staffing levels and the needs of individual </t>
  </si>
  <si>
    <t>pupils after taking into account the premises and age weighted pupil unit funding.</t>
  </si>
  <si>
    <t>(B) Pupil-led Factors</t>
  </si>
  <si>
    <t>Pupils</t>
  </si>
  <si>
    <t>Funding per pupil £'000'</t>
  </si>
  <si>
    <t>Year Group</t>
  </si>
  <si>
    <t>(C) Other Factors</t>
  </si>
  <si>
    <t>Funding £'000'</t>
  </si>
  <si>
    <t xml:space="preserve">Special </t>
  </si>
  <si>
    <t>Funding for pupils with statements</t>
  </si>
  <si>
    <t>Salary Protection £'000'</t>
  </si>
  <si>
    <t>Special</t>
  </si>
  <si>
    <t>PRU</t>
  </si>
  <si>
    <r>
      <rPr>
        <b/>
        <sz val="10"/>
        <rFont val="Arial"/>
        <family val="2"/>
      </rPr>
      <t xml:space="preserve">PRU: </t>
    </r>
    <r>
      <rPr>
        <sz val="10"/>
        <rFont val="Arial"/>
        <family val="2"/>
      </rPr>
      <t xml:space="preserve">Funding for Head and one Deputy </t>
    </r>
  </si>
  <si>
    <t xml:space="preserve">Site Specific Factors </t>
  </si>
  <si>
    <t xml:space="preserve">Special School </t>
  </si>
  <si>
    <t>Caretaker funding based on one caretaker</t>
  </si>
  <si>
    <t>Is funded based on the actual cost of renting the property.</t>
  </si>
  <si>
    <t>This is calculated based on floor area of the premises weighted by a condition factor of the school building multiplied by 3 to reflect the residential usage</t>
  </si>
  <si>
    <t xml:space="preserve">Threshold funding is based on teachers on upper pay scales at each school </t>
  </si>
  <si>
    <t xml:space="preserve">All School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</si>
</sst>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"/>
    <numFmt numFmtId="165" formatCode="0.0"/>
    <numFmt numFmtId="166" formatCode="0.000"/>
    <numFmt numFmtId="167" formatCode="#,##0_ ;[Red]\-#,##0\ "/>
    <numFmt numFmtId="168" formatCode="#,##0.00_ ;[Red]\-#,##0.00\ "/>
    <numFmt numFmtId="169" formatCode="_-* #,##0_-;\-* #,##0_-;_-* &quot;-&quot;??_-;_-@_-"/>
    <numFmt numFmtId="170" formatCode="d\-mmm\-yy"/>
    <numFmt numFmtId="171" formatCode="dd\-mm\-yyyy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6"/>
      <name val="Arial"/>
      <family val="2"/>
    </font>
    <font>
      <b/>
      <i/>
      <sz val="10"/>
      <color indexed="5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0000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23" fillId="0" borderId="0" applyNumberFormat="0" applyFill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23" applyNumberFormat="0" applyAlignment="0" applyProtection="0"/>
    <xf numFmtId="0" fontId="28" fillId="15" borderId="24" applyNumberFormat="0" applyAlignment="0" applyProtection="0"/>
    <xf numFmtId="0" fontId="29" fillId="15" borderId="23" applyNumberFormat="0" applyAlignment="0" applyProtection="0"/>
    <xf numFmtId="0" fontId="30" fillId="0" borderId="25" applyNumberFormat="0" applyFill="0" applyAlignment="0" applyProtection="0"/>
    <xf numFmtId="0" fontId="31" fillId="16" borderId="26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8" applyNumberFormat="0" applyFill="0" applyAlignment="0" applyProtection="0"/>
    <xf numFmtId="0" fontId="3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35" fillId="41" borderId="0" applyNumberFormat="0" applyBorder="0" applyAlignment="0" applyProtection="0"/>
    <xf numFmtId="0" fontId="2" fillId="0" borderId="0"/>
    <xf numFmtId="0" fontId="2" fillId="17" borderId="27" applyNumberFormat="0" applyFon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7" applyNumberFormat="0" applyFont="0" applyAlignment="0" applyProtection="0"/>
  </cellStyleXfs>
  <cellXfs count="428">
    <xf numFmtId="0" fontId="0" fillId="0" borderId="0" xfId="0"/>
    <xf numFmtId="0" fontId="0" fillId="2" borderId="0" xfId="0" applyFill="1"/>
    <xf numFmtId="0" fontId="7" fillId="2" borderId="0" xfId="0" applyFont="1" applyFill="1"/>
    <xf numFmtId="168" fontId="0" fillId="2" borderId="0" xfId="0" applyNumberFormat="1" applyFill="1"/>
    <xf numFmtId="169" fontId="11" fillId="0" borderId="0" xfId="1" applyNumberFormat="1" applyFont="1"/>
    <xf numFmtId="0" fontId="10" fillId="2" borderId="0" xfId="0" applyFont="1" applyFill="1" applyAlignment="1">
      <alignment horizontal="centerContinuous"/>
    </xf>
    <xf numFmtId="0" fontId="11" fillId="2" borderId="0" xfId="0" applyFont="1" applyFill="1" applyAlignment="1">
      <alignment horizontal="centerContinuous"/>
    </xf>
    <xf numFmtId="0" fontId="11" fillId="2" borderId="0" xfId="0" applyFont="1" applyFill="1"/>
    <xf numFmtId="0" fontId="6" fillId="2" borderId="0" xfId="0" applyFont="1" applyFill="1"/>
    <xf numFmtId="0" fontId="11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17" fontId="12" fillId="2" borderId="0" xfId="0" quotePrefix="1" applyNumberFormat="1" applyFont="1" applyFill="1" applyBorder="1" applyAlignment="1">
      <alignment horizontal="center"/>
    </xf>
    <xf numFmtId="17" fontId="12" fillId="2" borderId="0" xfId="0" quotePrefix="1" applyNumberFormat="1" applyFont="1" applyFill="1" applyAlignment="1">
      <alignment horizontal="center"/>
    </xf>
    <xf numFmtId="16" fontId="11" fillId="2" borderId="0" xfId="0" quotePrefix="1" applyNumberFormat="1" applyFont="1" applyFill="1" applyAlignment="1">
      <alignment horizontal="center"/>
    </xf>
    <xf numFmtId="2" fontId="11" fillId="2" borderId="0" xfId="0" applyNumberFormat="1" applyFont="1" applyFill="1"/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center"/>
    </xf>
    <xf numFmtId="1" fontId="11" fillId="2" borderId="0" xfId="0" applyNumberFormat="1" applyFont="1" applyFill="1" applyBorder="1" applyAlignment="1">
      <alignment horizontal="center"/>
    </xf>
    <xf numFmtId="43" fontId="11" fillId="2" borderId="0" xfId="1" applyFont="1" applyFill="1" applyAlignment="1">
      <alignment horizontal="right"/>
    </xf>
    <xf numFmtId="16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1" xfId="0" applyFont="1" applyFill="1" applyBorder="1" applyAlignment="1">
      <alignment horizontal="center"/>
    </xf>
    <xf numFmtId="43" fontId="11" fillId="2" borderId="1" xfId="0" applyNumberFormat="1" applyFont="1" applyFill="1" applyBorder="1" applyAlignment="1">
      <alignment horizontal="right"/>
    </xf>
    <xf numFmtId="169" fontId="6" fillId="2" borderId="0" xfId="0" applyNumberFormat="1" applyFont="1" applyFill="1" applyAlignment="1">
      <alignment horizontal="right"/>
    </xf>
    <xf numFmtId="169" fontId="11" fillId="2" borderId="0" xfId="1" applyNumberFormat="1" applyFont="1" applyFill="1"/>
    <xf numFmtId="0" fontId="11" fillId="2" borderId="0" xfId="0" quotePrefix="1" applyFont="1" applyFill="1" applyAlignment="1">
      <alignment horizontal="left"/>
    </xf>
    <xf numFmtId="0" fontId="11" fillId="2" borderId="0" xfId="0" applyFont="1" applyFill="1" applyAlignment="1">
      <alignment horizontal="left"/>
    </xf>
    <xf numFmtId="3" fontId="11" fillId="2" borderId="1" xfId="0" applyNumberFormat="1" applyFont="1" applyFill="1" applyBorder="1"/>
    <xf numFmtId="3" fontId="6" fillId="2" borderId="0" xfId="0" applyNumberFormat="1" applyFont="1" applyFill="1"/>
    <xf numFmtId="3" fontId="11" fillId="2" borderId="0" xfId="0" applyNumberFormat="1" applyFont="1" applyFill="1" applyBorder="1"/>
    <xf numFmtId="3" fontId="4" fillId="2" borderId="0" xfId="0" applyNumberFormat="1" applyFont="1" applyFill="1"/>
    <xf numFmtId="3" fontId="6" fillId="2" borderId="0" xfId="0" applyNumberFormat="1" applyFont="1" applyFill="1" applyBorder="1"/>
    <xf numFmtId="3" fontId="11" fillId="2" borderId="0" xfId="0" applyNumberFormat="1" applyFont="1" applyFill="1" applyAlignment="1">
      <alignment horizontal="right"/>
    </xf>
    <xf numFmtId="3" fontId="11" fillId="2" borderId="0" xfId="0" applyNumberFormat="1" applyFont="1" applyFill="1"/>
    <xf numFmtId="3" fontId="11" fillId="2" borderId="2" xfId="0" applyNumberFormat="1" applyFont="1" applyFill="1" applyBorder="1" applyAlignment="1">
      <alignment horizontal="right"/>
    </xf>
    <xf numFmtId="3" fontId="11" fillId="2" borderId="1" xfId="0" applyNumberFormat="1" applyFont="1" applyFill="1" applyBorder="1" applyAlignment="1">
      <alignment horizontal="right"/>
    </xf>
    <xf numFmtId="169" fontId="6" fillId="2" borderId="0" xfId="0" applyNumberFormat="1" applyFont="1" applyFill="1" applyAlignment="1"/>
    <xf numFmtId="169" fontId="6" fillId="2" borderId="3" xfId="0" applyNumberFormat="1" applyFont="1" applyFill="1" applyBorder="1" applyAlignment="1"/>
    <xf numFmtId="0" fontId="13" fillId="2" borderId="0" xfId="0" applyFont="1" applyFill="1"/>
    <xf numFmtId="170" fontId="13" fillId="2" borderId="0" xfId="0" applyNumberFormat="1" applyFont="1" applyFill="1"/>
    <xf numFmtId="0" fontId="14" fillId="2" borderId="0" xfId="0" applyFont="1" applyFill="1"/>
    <xf numFmtId="164" fontId="7" fillId="2" borderId="4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0" fontId="13" fillId="2" borderId="0" xfId="0" applyFont="1" applyFill="1" applyAlignment="1">
      <alignment wrapText="1"/>
    </xf>
    <xf numFmtId="4" fontId="7" fillId="2" borderId="0" xfId="0" applyNumberFormat="1" applyFont="1" applyFill="1"/>
    <xf numFmtId="0" fontId="7" fillId="2" borderId="0" xfId="0" applyFont="1" applyFill="1" applyAlignment="1">
      <alignment horizontal="center"/>
    </xf>
    <xf numFmtId="49" fontId="13" fillId="2" borderId="0" xfId="0" applyNumberFormat="1" applyFont="1" applyFill="1"/>
    <xf numFmtId="0" fontId="14" fillId="2" borderId="4" xfId="0" applyFont="1" applyFill="1" applyBorder="1" applyAlignment="1">
      <alignment horizontal="center"/>
    </xf>
    <xf numFmtId="10" fontId="13" fillId="2" borderId="0" xfId="2" applyNumberFormat="1" applyFont="1" applyFill="1"/>
    <xf numFmtId="0" fontId="15" fillId="2" borderId="0" xfId="0" quotePrefix="1" applyFont="1" applyFill="1" applyAlignment="1">
      <alignment horizontal="left"/>
    </xf>
    <xf numFmtId="0" fontId="16" fillId="2" borderId="0" xfId="0" applyFont="1" applyFill="1"/>
    <xf numFmtId="0" fontId="7" fillId="4" borderId="3" xfId="0" applyFont="1" applyFill="1" applyBorder="1"/>
    <xf numFmtId="167" fontId="13" fillId="2" borderId="0" xfId="0" applyNumberFormat="1" applyFont="1" applyFill="1"/>
    <xf numFmtId="0" fontId="14" fillId="3" borderId="4" xfId="0" applyFont="1" applyFill="1" applyBorder="1" applyAlignment="1">
      <alignment horizontal="center" wrapText="1"/>
    </xf>
    <xf numFmtId="164" fontId="7" fillId="3" borderId="4" xfId="0" applyNumberFormat="1" applyFont="1" applyFill="1" applyBorder="1" applyAlignment="1">
      <alignment horizontal="center" wrapText="1"/>
    </xf>
    <xf numFmtId="164" fontId="7" fillId="3" borderId="2" xfId="0" applyNumberFormat="1" applyFont="1" applyFill="1" applyBorder="1" applyAlignment="1">
      <alignment horizontal="center" wrapText="1"/>
    </xf>
    <xf numFmtId="0" fontId="7" fillId="3" borderId="9" xfId="0" applyFont="1" applyFill="1" applyBorder="1"/>
    <xf numFmtId="49" fontId="7" fillId="3" borderId="9" xfId="0" applyNumberFormat="1" applyFont="1" applyFill="1" applyBorder="1"/>
    <xf numFmtId="0" fontId="7" fillId="3" borderId="10" xfId="0" applyFont="1" applyFill="1" applyBorder="1" applyAlignment="1">
      <alignment horizontal="center"/>
    </xf>
    <xf numFmtId="4" fontId="7" fillId="3" borderId="11" xfId="0" applyNumberFormat="1" applyFont="1" applyFill="1" applyBorder="1"/>
    <xf numFmtId="167" fontId="7" fillId="4" borderId="9" xfId="0" applyNumberFormat="1" applyFont="1" applyFill="1" applyBorder="1"/>
    <xf numFmtId="167" fontId="7" fillId="4" borderId="10" xfId="0" applyNumberFormat="1" applyFont="1" applyFill="1" applyBorder="1"/>
    <xf numFmtId="167" fontId="7" fillId="4" borderId="11" xfId="0" applyNumberFormat="1" applyFont="1" applyFill="1" applyBorder="1"/>
    <xf numFmtId="3" fontId="7" fillId="3" borderId="3" xfId="0" applyNumberFormat="1" applyFont="1" applyFill="1" applyBorder="1"/>
    <xf numFmtId="0" fontId="14" fillId="3" borderId="4" xfId="0" applyFont="1" applyFill="1" applyBorder="1" applyAlignment="1">
      <alignment horizontal="center"/>
    </xf>
    <xf numFmtId="4" fontId="7" fillId="3" borderId="3" xfId="0" applyNumberFormat="1" applyFont="1" applyFill="1" applyBorder="1"/>
    <xf numFmtId="0" fontId="7" fillId="3" borderId="13" xfId="0" applyFont="1" applyFill="1" applyBorder="1"/>
    <xf numFmtId="49" fontId="7" fillId="3" borderId="13" xfId="0" applyNumberFormat="1" applyFont="1" applyFill="1" applyBorder="1"/>
    <xf numFmtId="0" fontId="7" fillId="3" borderId="14" xfId="0" applyFont="1" applyFill="1" applyBorder="1" applyAlignment="1">
      <alignment horizontal="center"/>
    </xf>
    <xf numFmtId="4" fontId="7" fillId="3" borderId="15" xfId="0" applyNumberFormat="1" applyFont="1" applyFill="1" applyBorder="1"/>
    <xf numFmtId="4" fontId="7" fillId="3" borderId="10" xfId="0" applyNumberFormat="1" applyFont="1" applyFill="1" applyBorder="1"/>
    <xf numFmtId="4" fontId="7" fillId="3" borderId="9" xfId="0" applyNumberFormat="1" applyFont="1" applyFill="1" applyBorder="1"/>
    <xf numFmtId="164" fontId="14" fillId="3" borderId="4" xfId="0" applyNumberFormat="1" applyFont="1" applyFill="1" applyBorder="1" applyAlignment="1">
      <alignment horizontal="center"/>
    </xf>
    <xf numFmtId="164" fontId="7" fillId="3" borderId="9" xfId="0" applyNumberFormat="1" applyFont="1" applyFill="1" applyBorder="1"/>
    <xf numFmtId="3" fontId="7" fillId="3" borderId="10" xfId="0" applyNumberFormat="1" applyFont="1" applyFill="1" applyBorder="1"/>
    <xf numFmtId="4" fontId="7" fillId="3" borderId="4" xfId="0" applyNumberFormat="1" applyFont="1" applyFill="1" applyBorder="1"/>
    <xf numFmtId="164" fontId="7" fillId="3" borderId="4" xfId="0" quotePrefix="1" applyNumberFormat="1" applyFont="1" applyFill="1" applyBorder="1" applyAlignment="1">
      <alignment horizontal="center" wrapText="1"/>
    </xf>
    <xf numFmtId="3" fontId="11" fillId="2" borderId="1" xfId="0" applyNumberFormat="1" applyFont="1" applyFill="1" applyBorder="1" applyAlignment="1">
      <alignment horizontal="center"/>
    </xf>
    <xf numFmtId="164" fontId="11" fillId="2" borderId="0" xfId="0" applyNumberFormat="1" applyFont="1" applyFill="1"/>
    <xf numFmtId="169" fontId="0" fillId="2" borderId="0" xfId="0" applyNumberFormat="1" applyFill="1"/>
    <xf numFmtId="0" fontId="13" fillId="0" borderId="0" xfId="0" applyFont="1" applyFill="1" applyBorder="1"/>
    <xf numFmtId="0" fontId="3" fillId="2" borderId="0" xfId="0" applyFont="1" applyFill="1"/>
    <xf numFmtId="0" fontId="3" fillId="2" borderId="6" xfId="0" quotePrefix="1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4" fontId="3" fillId="2" borderId="4" xfId="0" quotePrefix="1" applyNumberFormat="1" applyFont="1" applyFill="1" applyBorder="1" applyAlignment="1">
      <alignment horizontal="center"/>
    </xf>
    <xf numFmtId="4" fontId="3" fillId="2" borderId="5" xfId="0" quotePrefix="1" applyNumberFormat="1" applyFont="1" applyFill="1" applyBorder="1" applyAlignment="1">
      <alignment horizontal="center"/>
    </xf>
    <xf numFmtId="4" fontId="3" fillId="2" borderId="8" xfId="0" quotePrefix="1" applyNumberFormat="1" applyFont="1" applyFill="1" applyBorder="1" applyAlignment="1">
      <alignment horizontal="center"/>
    </xf>
    <xf numFmtId="4" fontId="3" fillId="2" borderId="6" xfId="0" applyNumberFormat="1" applyFont="1" applyFill="1" applyBorder="1"/>
    <xf numFmtId="165" fontId="3" fillId="2" borderId="6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" fontId="3" fillId="2" borderId="6" xfId="0" quotePrefix="1" applyNumberFormat="1" applyFont="1" applyFill="1" applyBorder="1" applyAlignment="1">
      <alignment horizontal="center"/>
    </xf>
    <xf numFmtId="2" fontId="3" fillId="2" borderId="4" xfId="0" applyNumberFormat="1" applyFont="1" applyFill="1" applyBorder="1"/>
    <xf numFmtId="0" fontId="4" fillId="2" borderId="0" xfId="0" applyFont="1" applyFill="1" applyAlignment="1">
      <alignment horizontal="left"/>
    </xf>
    <xf numFmtId="3" fontId="0" fillId="2" borderId="0" xfId="0" applyNumberFormat="1" applyFill="1"/>
    <xf numFmtId="0" fontId="3" fillId="2" borderId="4" xfId="0" applyFont="1" applyFill="1" applyBorder="1"/>
    <xf numFmtId="49" fontId="3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4" fontId="3" fillId="2" borderId="4" xfId="0" quotePrefix="1" applyNumberFormat="1" applyFont="1" applyFill="1" applyBorder="1" applyAlignment="1"/>
    <xf numFmtId="4" fontId="3" fillId="2" borderId="4" xfId="0" applyNumberFormat="1" applyFont="1" applyFill="1" applyBorder="1"/>
    <xf numFmtId="4" fontId="3" fillId="2" borderId="6" xfId="0" quotePrefix="1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4" fontId="3" fillId="2" borderId="5" xfId="0" applyNumberFormat="1" applyFont="1" applyFill="1" applyBorder="1"/>
    <xf numFmtId="4" fontId="3" fillId="2" borderId="4" xfId="0" applyNumberFormat="1" applyFont="1" applyFill="1" applyBorder="1" applyAlignment="1"/>
    <xf numFmtId="4" fontId="3" fillId="2" borderId="8" xfId="0" quotePrefix="1" applyNumberFormat="1" applyFont="1" applyFill="1" applyBorder="1" applyAlignment="1">
      <alignment horizontal="right"/>
    </xf>
    <xf numFmtId="4" fontId="3" fillId="2" borderId="8" xfId="0" applyNumberFormat="1" applyFont="1" applyFill="1" applyBorder="1"/>
    <xf numFmtId="0" fontId="3" fillId="2" borderId="8" xfId="0" applyFont="1" applyFill="1" applyBorder="1"/>
    <xf numFmtId="2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/>
    <xf numFmtId="4" fontId="3" fillId="2" borderId="6" xfId="0" applyNumberFormat="1" applyFont="1" applyFill="1" applyBorder="1" applyAlignment="1">
      <alignment horizontal="center"/>
    </xf>
    <xf numFmtId="0" fontId="3" fillId="2" borderId="4" xfId="0" quotePrefix="1" applyFont="1" applyFill="1" applyBorder="1" applyAlignment="1">
      <alignment horizontal="left"/>
    </xf>
    <xf numFmtId="2" fontId="3" fillId="2" borderId="4" xfId="0" quotePrefix="1" applyNumberFormat="1" applyFont="1" applyFill="1" applyBorder="1" applyAlignment="1">
      <alignment horizontal="center"/>
    </xf>
    <xf numFmtId="3" fontId="3" fillId="2" borderId="5" xfId="0" quotePrefix="1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 wrapText="1"/>
    </xf>
    <xf numFmtId="0" fontId="3" fillId="2" borderId="6" xfId="0" applyFont="1" applyFill="1" applyBorder="1"/>
    <xf numFmtId="0" fontId="3" fillId="2" borderId="8" xfId="0" applyFont="1" applyFill="1" applyBorder="1" applyAlignment="1">
      <alignment horizontal="center"/>
    </xf>
    <xf numFmtId="3" fontId="3" fillId="2" borderId="4" xfId="0" quotePrefix="1" applyNumberFormat="1" applyFont="1" applyFill="1" applyBorder="1" applyAlignment="1">
      <alignment horizontal="center"/>
    </xf>
    <xf numFmtId="49" fontId="3" fillId="2" borderId="4" xfId="0" quotePrefix="1" applyNumberFormat="1" applyFont="1" applyFill="1" applyBorder="1"/>
    <xf numFmtId="2" fontId="3" fillId="2" borderId="6" xfId="0" quotePrefix="1" applyNumberFormat="1" applyFont="1" applyFill="1" applyBorder="1" applyAlignment="1">
      <alignment horizontal="center"/>
    </xf>
    <xf numFmtId="164" fontId="3" fillId="2" borderId="4" xfId="0" applyNumberFormat="1" applyFont="1" applyFill="1" applyBorder="1"/>
    <xf numFmtId="49" fontId="3" fillId="2" borderId="4" xfId="0" quotePrefix="1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center"/>
    </xf>
    <xf numFmtId="3" fontId="3" fillId="2" borderId="4" xfId="0" quotePrefix="1" applyNumberFormat="1" applyFont="1" applyFill="1" applyBorder="1" applyAlignment="1">
      <alignment horizontal="right"/>
    </xf>
    <xf numFmtId="3" fontId="3" fillId="2" borderId="8" xfId="0" quotePrefix="1" applyNumberFormat="1" applyFont="1" applyFill="1" applyBorder="1" applyAlignment="1">
      <alignment horizontal="right"/>
    </xf>
    <xf numFmtId="3" fontId="3" fillId="2" borderId="6" xfId="0" quotePrefix="1" applyNumberFormat="1" applyFont="1" applyFill="1" applyBorder="1" applyAlignment="1">
      <alignment horizontal="center"/>
    </xf>
    <xf numFmtId="2" fontId="3" fillId="2" borderId="5" xfId="1" applyNumberFormat="1" applyFont="1" applyFill="1" applyBorder="1"/>
    <xf numFmtId="0" fontId="3" fillId="2" borderId="4" xfId="0" quotePrefix="1" applyFont="1" applyFill="1" applyBorder="1" applyAlignment="1">
      <alignment horizontal="center"/>
    </xf>
    <xf numFmtId="0" fontId="3" fillId="2" borderId="6" xfId="0" quotePrefix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right"/>
    </xf>
    <xf numFmtId="164" fontId="3" fillId="2" borderId="4" xfId="0" quotePrefix="1" applyNumberFormat="1" applyFont="1" applyFill="1" applyBorder="1"/>
    <xf numFmtId="2" fontId="3" fillId="2" borderId="5" xfId="0" quotePrefix="1" applyNumberFormat="1" applyFont="1" applyFill="1" applyBorder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horizontal="center"/>
    </xf>
    <xf numFmtId="4" fontId="3" fillId="2" borderId="0" xfId="0" applyNumberFormat="1" applyFont="1" applyFill="1"/>
    <xf numFmtId="4" fontId="3" fillId="2" borderId="4" xfId="0" quotePrefix="1" applyNumberFormat="1" applyFont="1" applyFill="1" applyBorder="1" applyAlignment="1">
      <alignment horizontal="right"/>
    </xf>
    <xf numFmtId="49" fontId="3" fillId="3" borderId="9" xfId="0" applyNumberFormat="1" applyFont="1" applyFill="1" applyBorder="1"/>
    <xf numFmtId="0" fontId="3" fillId="3" borderId="10" xfId="0" applyFont="1" applyFill="1" applyBorder="1" applyAlignment="1">
      <alignment horizontal="center"/>
    </xf>
    <xf numFmtId="168" fontId="7" fillId="3" borderId="3" xfId="0" applyNumberFormat="1" applyFont="1" applyFill="1" applyBorder="1"/>
    <xf numFmtId="49" fontId="3" fillId="2" borderId="6" xfId="0" quotePrefix="1" applyNumberFormat="1" applyFont="1" applyFill="1" applyBorder="1"/>
    <xf numFmtId="0" fontId="13" fillId="0" borderId="0" xfId="0" applyFont="1" applyFill="1"/>
    <xf numFmtId="0" fontId="3" fillId="0" borderId="0" xfId="0" applyFont="1" applyFill="1"/>
    <xf numFmtId="10" fontId="3" fillId="2" borderId="0" xfId="2" applyNumberFormat="1" applyFont="1" applyFill="1"/>
    <xf numFmtId="49" fontId="3" fillId="0" borderId="4" xfId="0" quotePrefix="1" applyNumberFormat="1" applyFont="1" applyFill="1" applyBorder="1"/>
    <xf numFmtId="0" fontId="13" fillId="0" borderId="7" xfId="0" applyFont="1" applyFill="1" applyBorder="1"/>
    <xf numFmtId="49" fontId="3" fillId="0" borderId="4" xfId="0" applyNumberFormat="1" applyFont="1" applyFill="1" applyBorder="1"/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164" fontId="7" fillId="2" borderId="6" xfId="0" applyNumberFormat="1" applyFont="1" applyFill="1" applyBorder="1" applyAlignment="1">
      <alignment horizontal="center" wrapText="1"/>
    </xf>
    <xf numFmtId="169" fontId="4" fillId="2" borderId="0" xfId="1" applyNumberFormat="1" applyFont="1" applyFill="1"/>
    <xf numFmtId="0" fontId="4" fillId="2" borderId="0" xfId="0" applyFont="1" applyFill="1"/>
    <xf numFmtId="2" fontId="3" fillId="2" borderId="4" xfId="0" applyNumberFormat="1" applyFont="1" applyFill="1" applyBorder="1" applyAlignment="1"/>
    <xf numFmtId="4" fontId="7" fillId="3" borderId="16" xfId="0" applyNumberFormat="1" applyFont="1" applyFill="1" applyBorder="1"/>
    <xf numFmtId="0" fontId="3" fillId="0" borderId="17" xfId="0" applyFont="1" applyFill="1" applyBorder="1"/>
    <xf numFmtId="0" fontId="3" fillId="6" borderId="0" xfId="0" applyFont="1" applyFill="1" applyBorder="1"/>
    <xf numFmtId="0" fontId="7" fillId="6" borderId="0" xfId="0" applyFont="1" applyFill="1" applyBorder="1"/>
    <xf numFmtId="167" fontId="7" fillId="7" borderId="9" xfId="0" applyNumberFormat="1" applyFont="1" applyFill="1" applyBorder="1"/>
    <xf numFmtId="167" fontId="7" fillId="7" borderId="10" xfId="0" applyNumberFormat="1" applyFont="1" applyFill="1" applyBorder="1"/>
    <xf numFmtId="167" fontId="7" fillId="7" borderId="11" xfId="0" applyNumberFormat="1" applyFont="1" applyFill="1" applyBorder="1"/>
    <xf numFmtId="0" fontId="14" fillId="6" borderId="0" xfId="0" applyFont="1" applyFill="1" applyBorder="1"/>
    <xf numFmtId="0" fontId="14" fillId="8" borderId="4" xfId="0" applyFont="1" applyFill="1" applyBorder="1" applyAlignment="1">
      <alignment horizontal="center" wrapText="1"/>
    </xf>
    <xf numFmtId="164" fontId="7" fillId="8" borderId="4" xfId="0" applyNumberFormat="1" applyFont="1" applyFill="1" applyBorder="1" applyAlignment="1">
      <alignment horizontal="center" wrapText="1"/>
    </xf>
    <xf numFmtId="164" fontId="7" fillId="8" borderId="2" xfId="0" applyNumberFormat="1" applyFont="1" applyFill="1" applyBorder="1" applyAlignment="1">
      <alignment horizontal="center" wrapText="1"/>
    </xf>
    <xf numFmtId="0" fontId="3" fillId="6" borderId="4" xfId="0" applyFont="1" applyFill="1" applyBorder="1"/>
    <xf numFmtId="49" fontId="3" fillId="6" borderId="4" xfId="0" applyNumberFormat="1" applyFont="1" applyFill="1" applyBorder="1"/>
    <xf numFmtId="0" fontId="3" fillId="6" borderId="4" xfId="0" applyFont="1" applyFill="1" applyBorder="1" applyAlignment="1">
      <alignment horizontal="center"/>
    </xf>
    <xf numFmtId="2" fontId="3" fillId="6" borderId="4" xfId="0" applyNumberFormat="1" applyFont="1" applyFill="1" applyBorder="1" applyAlignment="1">
      <alignment horizontal="center"/>
    </xf>
    <xf numFmtId="2" fontId="3" fillId="6" borderId="4" xfId="0" quotePrefix="1" applyNumberFormat="1" applyFont="1" applyFill="1" applyBorder="1" applyAlignment="1">
      <alignment horizontal="center"/>
    </xf>
    <xf numFmtId="2" fontId="3" fillId="6" borderId="5" xfId="0" applyNumberFormat="1" applyFont="1" applyFill="1" applyBorder="1"/>
    <xf numFmtId="2" fontId="3" fillId="6" borderId="4" xfId="0" applyNumberFormat="1" applyFont="1" applyFill="1" applyBorder="1"/>
    <xf numFmtId="2" fontId="3" fillId="6" borderId="4" xfId="0" quotePrefix="1" applyNumberFormat="1" applyFont="1" applyFill="1" applyBorder="1" applyAlignment="1">
      <alignment horizontal="right"/>
    </xf>
    <xf numFmtId="0" fontId="0" fillId="2" borderId="4" xfId="0" applyFont="1" applyFill="1" applyBorder="1"/>
    <xf numFmtId="2" fontId="3" fillId="6" borderId="5" xfId="0" quotePrefix="1" applyNumberFormat="1" applyFont="1" applyFill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2" fontId="3" fillId="0" borderId="4" xfId="0" quotePrefix="1" applyNumberFormat="1" applyFont="1" applyFill="1" applyBorder="1" applyAlignment="1">
      <alignment horizontal="center"/>
    </xf>
    <xf numFmtId="2" fontId="3" fillId="0" borderId="4" xfId="0" applyNumberFormat="1" applyFont="1" applyFill="1" applyBorder="1"/>
    <xf numFmtId="2" fontId="3" fillId="6" borderId="5" xfId="0" applyNumberFormat="1" applyFont="1" applyFill="1" applyBorder="1" applyAlignment="1">
      <alignment horizontal="center"/>
    </xf>
    <xf numFmtId="2" fontId="3" fillId="6" borderId="5" xfId="0" quotePrefix="1" applyNumberFormat="1" applyFont="1" applyFill="1" applyBorder="1" applyAlignment="1">
      <alignment horizontal="right"/>
    </xf>
    <xf numFmtId="49" fontId="3" fillId="6" borderId="4" xfId="0" quotePrefix="1" applyNumberFormat="1" applyFont="1" applyFill="1" applyBorder="1"/>
    <xf numFmtId="2" fontId="3" fillId="6" borderId="4" xfId="0" quotePrefix="1" applyNumberFormat="1" applyFont="1" applyFill="1" applyBorder="1" applyAlignment="1"/>
    <xf numFmtId="2" fontId="3" fillId="6" borderId="4" xfId="0" applyNumberFormat="1" applyFont="1" applyFill="1" applyBorder="1" applyAlignment="1"/>
    <xf numFmtId="0" fontId="7" fillId="8" borderId="13" xfId="0" applyFont="1" applyFill="1" applyBorder="1"/>
    <xf numFmtId="49" fontId="7" fillId="8" borderId="13" xfId="0" applyNumberFormat="1" applyFont="1" applyFill="1" applyBorder="1"/>
    <xf numFmtId="0" fontId="7" fillId="8" borderId="14" xfId="0" applyFont="1" applyFill="1" applyBorder="1" applyAlignment="1">
      <alignment horizontal="center"/>
    </xf>
    <xf numFmtId="4" fontId="7" fillId="8" borderId="15" xfId="0" applyNumberFormat="1" applyFont="1" applyFill="1" applyBorder="1"/>
    <xf numFmtId="0" fontId="3" fillId="2" borderId="4" xfId="0" applyFont="1" applyFill="1" applyBorder="1" applyAlignment="1">
      <alignment horizontal="left" wrapText="1"/>
    </xf>
    <xf numFmtId="49" fontId="3" fillId="2" borderId="4" xfId="0" applyNumberFormat="1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center" wrapText="1"/>
    </xf>
    <xf numFmtId="3" fontId="3" fillId="2" borderId="4" xfId="0" applyNumberFormat="1" applyFont="1" applyFill="1" applyBorder="1" applyAlignment="1">
      <alignment horizontal="right" wrapText="1"/>
    </xf>
    <xf numFmtId="0" fontId="14" fillId="3" borderId="6" xfId="0" applyFont="1" applyFill="1" applyBorder="1" applyAlignment="1">
      <alignment horizontal="center"/>
    </xf>
    <xf numFmtId="164" fontId="7" fillId="3" borderId="6" xfId="0" applyNumberFormat="1" applyFont="1" applyFill="1" applyBorder="1" applyAlignment="1">
      <alignment horizontal="center" wrapText="1"/>
    </xf>
    <xf numFmtId="0" fontId="3" fillId="9" borderId="4" xfId="0" applyFont="1" applyFill="1" applyBorder="1"/>
    <xf numFmtId="49" fontId="3" fillId="9" borderId="4" xfId="0" applyNumberFormat="1" applyFont="1" applyFill="1" applyBorder="1"/>
    <xf numFmtId="0" fontId="3" fillId="9" borderId="4" xfId="0" applyFont="1" applyFill="1" applyBorder="1" applyAlignment="1">
      <alignment horizontal="center"/>
    </xf>
    <xf numFmtId="2" fontId="3" fillId="9" borderId="4" xfId="0" applyNumberFormat="1" applyFont="1" applyFill="1" applyBorder="1" applyAlignment="1">
      <alignment horizontal="center"/>
    </xf>
    <xf numFmtId="2" fontId="3" fillId="9" borderId="4" xfId="0" quotePrefix="1" applyNumberFormat="1" applyFont="1" applyFill="1" applyBorder="1" applyAlignment="1">
      <alignment horizontal="center"/>
    </xf>
    <xf numFmtId="2" fontId="0" fillId="9" borderId="4" xfId="0" applyNumberFormat="1" applyFont="1" applyFill="1" applyBorder="1" applyAlignment="1">
      <alignment horizontal="center"/>
    </xf>
    <xf numFmtId="2" fontId="3" fillId="9" borderId="4" xfId="0" applyNumberFormat="1" applyFont="1" applyFill="1" applyBorder="1"/>
    <xf numFmtId="43" fontId="3" fillId="2" borderId="4" xfId="1" quotePrefix="1" applyFont="1" applyFill="1" applyBorder="1" applyAlignment="1">
      <alignment horizontal="center"/>
    </xf>
    <xf numFmtId="0" fontId="3" fillId="2" borderId="5" xfId="0" quotePrefix="1" applyFont="1" applyFill="1" applyBorder="1" applyAlignment="1">
      <alignment horizontal="center"/>
    </xf>
    <xf numFmtId="166" fontId="3" fillId="2" borderId="4" xfId="0" quotePrefix="1" applyNumberFormat="1" applyFont="1" applyFill="1" applyBorder="1" applyAlignment="1">
      <alignment horizontal="center"/>
    </xf>
    <xf numFmtId="0" fontId="3" fillId="5" borderId="4" xfId="0" applyFont="1" applyFill="1" applyBorder="1"/>
    <xf numFmtId="49" fontId="3" fillId="5" borderId="4" xfId="0" applyNumberFormat="1" applyFont="1" applyFill="1" applyBorder="1"/>
    <xf numFmtId="0" fontId="3" fillId="5" borderId="4" xfId="0" applyFont="1" applyFill="1" applyBorder="1" applyAlignment="1">
      <alignment horizontal="center"/>
    </xf>
    <xf numFmtId="2" fontId="3" fillId="5" borderId="4" xfId="0" applyNumberFormat="1" applyFont="1" applyFill="1" applyBorder="1" applyAlignment="1">
      <alignment horizontal="center"/>
    </xf>
    <xf numFmtId="2" fontId="3" fillId="5" borderId="4" xfId="0" quotePrefix="1" applyNumberFormat="1" applyFont="1" applyFill="1" applyBorder="1" applyAlignment="1">
      <alignment horizontal="center"/>
    </xf>
    <xf numFmtId="43" fontId="3" fillId="5" borderId="4" xfId="1" quotePrefix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43" fontId="3" fillId="0" borderId="4" xfId="1" quotePrefix="1" applyFont="1" applyFill="1" applyBorder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43" fontId="3" fillId="9" borderId="4" xfId="1" quotePrefix="1" applyFont="1" applyFill="1" applyBorder="1" applyAlignment="1">
      <alignment horizontal="center"/>
    </xf>
    <xf numFmtId="0" fontId="0" fillId="9" borderId="0" xfId="0" applyFill="1"/>
    <xf numFmtId="0" fontId="3" fillId="5" borderId="6" xfId="0" applyFont="1" applyFill="1" applyBorder="1"/>
    <xf numFmtId="49" fontId="3" fillId="5" borderId="6" xfId="0" applyNumberFormat="1" applyFont="1" applyFill="1" applyBorder="1"/>
    <xf numFmtId="0" fontId="3" fillId="5" borderId="6" xfId="0" applyFont="1" applyFill="1" applyBorder="1" applyAlignment="1">
      <alignment horizontal="center"/>
    </xf>
    <xf numFmtId="43" fontId="3" fillId="5" borderId="6" xfId="1" quotePrefix="1" applyFont="1" applyFill="1" applyBorder="1" applyAlignment="1">
      <alignment horizontal="center"/>
    </xf>
    <xf numFmtId="0" fontId="3" fillId="5" borderId="6" xfId="0" quotePrefix="1" applyFont="1" applyFill="1" applyBorder="1" applyAlignment="1">
      <alignment horizontal="center"/>
    </xf>
    <xf numFmtId="2" fontId="3" fillId="5" borderId="6" xfId="0" applyNumberFormat="1" applyFont="1" applyFill="1" applyBorder="1"/>
    <xf numFmtId="0" fontId="3" fillId="5" borderId="4" xfId="0" quotePrefix="1" applyFont="1" applyFill="1" applyBorder="1" applyAlignment="1">
      <alignment horizontal="center"/>
    </xf>
    <xf numFmtId="49" fontId="3" fillId="3" borderId="13" xfId="0" applyNumberFormat="1" applyFont="1" applyFill="1" applyBorder="1"/>
    <xf numFmtId="0" fontId="3" fillId="3" borderId="14" xfId="0" applyFont="1" applyFill="1" applyBorder="1" applyAlignment="1">
      <alignment horizontal="center"/>
    </xf>
    <xf numFmtId="4" fontId="7" fillId="3" borderId="14" xfId="0" applyNumberFormat="1" applyFont="1" applyFill="1" applyBorder="1"/>
    <xf numFmtId="4" fontId="7" fillId="3" borderId="18" xfId="0" applyNumberFormat="1" applyFont="1" applyFill="1" applyBorder="1"/>
    <xf numFmtId="166" fontId="3" fillId="2" borderId="6" xfId="0" applyNumberFormat="1" applyFont="1" applyFill="1" applyBorder="1" applyAlignment="1">
      <alignment horizontal="center"/>
    </xf>
    <xf numFmtId="4" fontId="3" fillId="2" borderId="19" xfId="0" quotePrefix="1" applyNumberFormat="1" applyFont="1" applyFill="1" applyBorder="1" applyAlignment="1">
      <alignment horizontal="center"/>
    </xf>
    <xf numFmtId="0" fontId="3" fillId="2" borderId="7" xfId="0" applyFont="1" applyFill="1" applyBorder="1"/>
    <xf numFmtId="49" fontId="3" fillId="2" borderId="0" xfId="0" applyNumberFormat="1" applyFont="1" applyFill="1" applyAlignment="1">
      <alignment horizontal="left"/>
    </xf>
    <xf numFmtId="49" fontId="0" fillId="2" borderId="4" xfId="0" applyNumberFormat="1" applyFont="1" applyFill="1" applyBorder="1"/>
    <xf numFmtId="0" fontId="3" fillId="10" borderId="0" xfId="0" applyFont="1" applyFill="1"/>
    <xf numFmtId="0" fontId="7" fillId="10" borderId="0" xfId="0" applyFont="1" applyFill="1" applyAlignment="1">
      <alignment horizontal="center"/>
    </xf>
    <xf numFmtId="0" fontId="7" fillId="2" borderId="4" xfId="0" applyFont="1" applyFill="1" applyBorder="1"/>
    <xf numFmtId="4" fontId="3" fillId="2" borderId="4" xfId="0" applyNumberFormat="1" applyFont="1" applyFill="1" applyBorder="1" applyAlignment="1">
      <alignment horizontal="center"/>
    </xf>
    <xf numFmtId="4" fontId="3" fillId="5" borderId="4" xfId="0" applyNumberFormat="1" applyFont="1" applyFill="1" applyBorder="1" applyAlignment="1">
      <alignment horizontal="center"/>
    </xf>
    <xf numFmtId="0" fontId="7" fillId="2" borderId="4" xfId="0" quotePrefix="1" applyFont="1" applyFill="1" applyBorder="1" applyAlignment="1">
      <alignment horizontal="left"/>
    </xf>
    <xf numFmtId="4" fontId="3" fillId="0" borderId="4" xfId="0" applyNumberFormat="1" applyFont="1" applyFill="1" applyBorder="1" applyAlignment="1">
      <alignment horizontal="center"/>
    </xf>
    <xf numFmtId="4" fontId="3" fillId="0" borderId="4" xfId="0" applyNumberFormat="1" applyFont="1" applyFill="1" applyBorder="1"/>
    <xf numFmtId="4" fontId="3" fillId="3" borderId="14" xfId="0" applyNumberFormat="1" applyFont="1" applyFill="1" applyBorder="1" applyAlignment="1">
      <alignment horizontal="center"/>
    </xf>
    <xf numFmtId="4" fontId="7" fillId="3" borderId="13" xfId="0" applyNumberFormat="1" applyFont="1" applyFill="1" applyBorder="1"/>
    <xf numFmtId="0" fontId="3" fillId="0" borderId="0" xfId="0" applyFont="1" applyFill="1" applyBorder="1"/>
    <xf numFmtId="0" fontId="3" fillId="9" borderId="6" xfId="0" applyFont="1" applyFill="1" applyBorder="1"/>
    <xf numFmtId="49" fontId="3" fillId="9" borderId="6" xfId="0" applyNumberFormat="1" applyFont="1" applyFill="1" applyBorder="1"/>
    <xf numFmtId="0" fontId="3" fillId="9" borderId="6" xfId="0" applyFont="1" applyFill="1" applyBorder="1" applyAlignment="1">
      <alignment horizontal="center"/>
    </xf>
    <xf numFmtId="4" fontId="3" fillId="9" borderId="6" xfId="0" applyNumberFormat="1" applyFont="1" applyFill="1" applyBorder="1"/>
    <xf numFmtId="0" fontId="0" fillId="9" borderId="19" xfId="0" applyFont="1" applyFill="1" applyBorder="1"/>
    <xf numFmtId="49" fontId="0" fillId="9" borderId="19" xfId="0" applyNumberFormat="1" applyFont="1" applyFill="1" applyBorder="1"/>
    <xf numFmtId="0" fontId="3" fillId="9" borderId="19" xfId="0" applyFont="1" applyFill="1" applyBorder="1" applyAlignment="1">
      <alignment horizontal="center"/>
    </xf>
    <xf numFmtId="2" fontId="3" fillId="9" borderId="19" xfId="0" applyNumberFormat="1" applyFont="1" applyFill="1" applyBorder="1" applyAlignment="1">
      <alignment horizontal="center"/>
    </xf>
    <xf numFmtId="4" fontId="3" fillId="9" borderId="19" xfId="0" quotePrefix="1" applyNumberFormat="1" applyFont="1" applyFill="1" applyBorder="1" applyAlignment="1">
      <alignment horizontal="center"/>
    </xf>
    <xf numFmtId="4" fontId="3" fillId="9" borderId="19" xfId="0" applyNumberFormat="1" applyFont="1" applyFill="1" applyBorder="1"/>
    <xf numFmtId="4" fontId="3" fillId="9" borderId="4" xfId="0" applyNumberFormat="1" applyFont="1" applyFill="1" applyBorder="1"/>
    <xf numFmtId="0" fontId="0" fillId="2" borderId="6" xfId="0" applyFont="1" applyFill="1" applyBorder="1"/>
    <xf numFmtId="49" fontId="0" fillId="2" borderId="6" xfId="0" applyNumberFormat="1" applyFont="1" applyFill="1" applyBorder="1"/>
    <xf numFmtId="49" fontId="7" fillId="3" borderId="16" xfId="0" applyNumberFormat="1" applyFont="1" applyFill="1" applyBorder="1"/>
    <xf numFmtId="3" fontId="3" fillId="2" borderId="5" xfId="0" applyNumberFormat="1" applyFont="1" applyFill="1" applyBorder="1"/>
    <xf numFmtId="164" fontId="3" fillId="3" borderId="9" xfId="0" applyNumberFormat="1" applyFont="1" applyFill="1" applyBorder="1"/>
    <xf numFmtId="164" fontId="3" fillId="3" borderId="10" xfId="0" applyNumberFormat="1" applyFont="1" applyFill="1" applyBorder="1" applyAlignment="1">
      <alignment horizontal="center"/>
    </xf>
    <xf numFmtId="0" fontId="3" fillId="2" borderId="19" xfId="0" applyFont="1" applyFill="1" applyBorder="1"/>
    <xf numFmtId="49" fontId="3" fillId="2" borderId="19" xfId="0" applyNumberFormat="1" applyFont="1" applyFill="1" applyBorder="1"/>
    <xf numFmtId="0" fontId="3" fillId="2" borderId="19" xfId="0" applyFont="1" applyFill="1" applyBorder="1" applyAlignment="1">
      <alignment horizontal="center"/>
    </xf>
    <xf numFmtId="4" fontId="3" fillId="2" borderId="19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9" borderId="4" xfId="0" quotePrefix="1" applyNumberFormat="1" applyFont="1" applyFill="1" applyBorder="1" applyAlignment="1">
      <alignment horizontal="center"/>
    </xf>
    <xf numFmtId="4" fontId="3" fillId="9" borderId="4" xfId="0" quotePrefix="1" applyNumberFormat="1" applyFont="1" applyFill="1" applyBorder="1" applyAlignment="1">
      <alignment horizontal="center"/>
    </xf>
    <xf numFmtId="0" fontId="7" fillId="3" borderId="4" xfId="0" applyFont="1" applyFill="1" applyBorder="1"/>
    <xf numFmtId="49" fontId="3" fillId="3" borderId="4" xfId="0" applyNumberFormat="1" applyFont="1" applyFill="1" applyBorder="1"/>
    <xf numFmtId="0" fontId="3" fillId="3" borderId="4" xfId="0" applyFont="1" applyFill="1" applyBorder="1" applyAlignment="1">
      <alignment horizontal="center"/>
    </xf>
    <xf numFmtId="49" fontId="0" fillId="2" borderId="4" xfId="0" quotePrefix="1" applyNumberFormat="1" applyFont="1" applyFill="1" applyBorder="1"/>
    <xf numFmtId="164" fontId="3" fillId="2" borderId="6" xfId="0" applyNumberFormat="1" applyFont="1" applyFill="1" applyBorder="1"/>
    <xf numFmtId="49" fontId="3" fillId="2" borderId="6" xfId="0" quotePrefix="1" applyNumberFormat="1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center" wrapText="1"/>
    </xf>
    <xf numFmtId="3" fontId="3" fillId="2" borderId="6" xfId="0" quotePrefix="1" applyNumberFormat="1" applyFont="1" applyFill="1" applyBorder="1" applyAlignment="1">
      <alignment horizontal="right"/>
    </xf>
    <xf numFmtId="164" fontId="0" fillId="2" borderId="4" xfId="0" applyNumberFormat="1" applyFont="1" applyFill="1" applyBorder="1"/>
    <xf numFmtId="49" fontId="0" fillId="2" borderId="4" xfId="0" quotePrefix="1" applyNumberFormat="1" applyFont="1" applyFill="1" applyBorder="1" applyAlignment="1">
      <alignment horizontal="left"/>
    </xf>
    <xf numFmtId="164" fontId="7" fillId="3" borderId="13" xfId="0" applyNumberFormat="1" applyFont="1" applyFill="1" applyBorder="1"/>
    <xf numFmtId="164" fontId="3" fillId="3" borderId="13" xfId="0" applyNumberFormat="1" applyFont="1" applyFill="1" applyBorder="1"/>
    <xf numFmtId="164" fontId="3" fillId="3" borderId="14" xfId="0" applyNumberFormat="1" applyFont="1" applyFill="1" applyBorder="1" applyAlignment="1">
      <alignment horizontal="center"/>
    </xf>
    <xf numFmtId="3" fontId="7" fillId="3" borderId="14" xfId="0" applyNumberFormat="1" applyFont="1" applyFill="1" applyBorder="1"/>
    <xf numFmtId="0" fontId="3" fillId="2" borderId="4" xfId="0" applyFont="1" applyFill="1" applyBorder="1" applyAlignment="1"/>
    <xf numFmtId="164" fontId="3" fillId="2" borderId="4" xfId="0" applyNumberFormat="1" applyFont="1" applyFill="1" applyBorder="1" applyAlignment="1">
      <alignment horizontal="center" wrapText="1"/>
    </xf>
    <xf numFmtId="0" fontId="3" fillId="2" borderId="4" xfId="0" quotePrefix="1" applyFont="1" applyFill="1" applyBorder="1"/>
    <xf numFmtId="43" fontId="3" fillId="2" borderId="4" xfId="1" applyNumberFormat="1" applyFont="1" applyFill="1" applyBorder="1"/>
    <xf numFmtId="0" fontId="7" fillId="3" borderId="12" xfId="0" applyFont="1" applyFill="1" applyBorder="1"/>
    <xf numFmtId="49" fontId="3" fillId="3" borderId="6" xfId="0" applyNumberFormat="1" applyFont="1" applyFill="1" applyBorder="1"/>
    <xf numFmtId="0" fontId="3" fillId="3" borderId="6" xfId="0" applyFont="1" applyFill="1" applyBorder="1" applyAlignment="1">
      <alignment horizontal="center"/>
    </xf>
    <xf numFmtId="4" fontId="7" fillId="3" borderId="6" xfId="0" applyNumberFormat="1" applyFont="1" applyFill="1" applyBorder="1"/>
    <xf numFmtId="4" fontId="0" fillId="2" borderId="6" xfId="0" applyNumberFormat="1" applyFont="1" applyFill="1" applyBorder="1"/>
    <xf numFmtId="0" fontId="3" fillId="9" borderId="5" xfId="0" applyFont="1" applyFill="1" applyBorder="1" applyAlignment="1">
      <alignment horizontal="center"/>
    </xf>
    <xf numFmtId="4" fontId="3" fillId="9" borderId="8" xfId="0" applyNumberFormat="1" applyFont="1" applyFill="1" applyBorder="1"/>
    <xf numFmtId="4" fontId="3" fillId="9" borderId="6" xfId="0" quotePrefix="1" applyNumberFormat="1" applyFont="1" applyFill="1" applyBorder="1" applyAlignment="1">
      <alignment horizontal="right"/>
    </xf>
    <xf numFmtId="0" fontId="3" fillId="9" borderId="6" xfId="0" quotePrefix="1" applyFont="1" applyFill="1" applyBorder="1" applyAlignment="1">
      <alignment horizontal="left"/>
    </xf>
    <xf numFmtId="4" fontId="3" fillId="9" borderId="6" xfId="0" quotePrefix="1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right" wrapText="1"/>
    </xf>
    <xf numFmtId="4" fontId="3" fillId="2" borderId="2" xfId="0" applyNumberFormat="1" applyFont="1" applyFill="1" applyBorder="1" applyAlignment="1">
      <alignment horizontal="right" wrapText="1"/>
    </xf>
    <xf numFmtId="0" fontId="0" fillId="2" borderId="4" xfId="0" applyFont="1" applyFill="1" applyBorder="1" applyAlignment="1">
      <alignment horizontal="left"/>
    </xf>
    <xf numFmtId="4" fontId="3" fillId="2" borderId="2" xfId="0" quotePrefix="1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wrapText="1"/>
    </xf>
    <xf numFmtId="4" fontId="3" fillId="9" borderId="6" xfId="0" applyNumberFormat="1" applyFont="1" applyFill="1" applyBorder="1" applyAlignment="1">
      <alignment horizontal="center"/>
    </xf>
    <xf numFmtId="0" fontId="3" fillId="9" borderId="4" xfId="0" applyFont="1" applyFill="1" applyBorder="1" applyAlignment="1">
      <alignment horizontal="left"/>
    </xf>
    <xf numFmtId="165" fontId="3" fillId="9" borderId="6" xfId="0" applyNumberFormat="1" applyFont="1" applyFill="1" applyBorder="1" applyAlignment="1">
      <alignment horizontal="center"/>
    </xf>
    <xf numFmtId="4" fontId="3" fillId="9" borderId="5" xfId="0" quotePrefix="1" applyNumberFormat="1" applyFont="1" applyFill="1" applyBorder="1" applyAlignment="1">
      <alignment horizontal="center"/>
    </xf>
    <xf numFmtId="0" fontId="3" fillId="9" borderId="4" xfId="0" quotePrefix="1" applyFont="1" applyFill="1" applyBorder="1" applyAlignment="1">
      <alignment horizontal="left"/>
    </xf>
    <xf numFmtId="165" fontId="3" fillId="9" borderId="4" xfId="0" applyNumberFormat="1" applyFont="1" applyFill="1" applyBorder="1" applyAlignment="1">
      <alignment horizontal="center"/>
    </xf>
    <xf numFmtId="0" fontId="0" fillId="2" borderId="19" xfId="0" applyFont="1" applyFill="1" applyBorder="1"/>
    <xf numFmtId="49" fontId="0" fillId="2" borderId="19" xfId="0" applyNumberFormat="1" applyFont="1" applyFill="1" applyBorder="1"/>
    <xf numFmtId="4" fontId="3" fillId="2" borderId="19" xfId="0" applyNumberFormat="1" applyFont="1" applyFill="1" applyBorder="1"/>
    <xf numFmtId="4" fontId="3" fillId="2" borderId="19" xfId="0" quotePrefix="1" applyNumberFormat="1" applyFont="1" applyFill="1" applyBorder="1" applyAlignment="1">
      <alignment horizontal="right"/>
    </xf>
    <xf numFmtId="49" fontId="3" fillId="3" borderId="3" xfId="0" applyNumberFormat="1" applyFont="1" applyFill="1" applyBorder="1"/>
    <xf numFmtId="0" fontId="3" fillId="2" borderId="17" xfId="0" applyFont="1" applyFill="1" applyBorder="1"/>
    <xf numFmtId="0" fontId="3" fillId="0" borderId="5" xfId="0" applyFont="1" applyFill="1" applyBorder="1" applyAlignment="1">
      <alignment horizontal="center"/>
    </xf>
    <xf numFmtId="4" fontId="3" fillId="0" borderId="5" xfId="0" applyNumberFormat="1" applyFont="1" applyFill="1" applyBorder="1"/>
    <xf numFmtId="4" fontId="3" fillId="0" borderId="6" xfId="0" applyNumberFormat="1" applyFont="1" applyFill="1" applyBorder="1"/>
    <xf numFmtId="4" fontId="3" fillId="0" borderId="8" xfId="0" applyNumberFormat="1" applyFont="1" applyFill="1" applyBorder="1"/>
    <xf numFmtId="3" fontId="3" fillId="2" borderId="4" xfId="0" applyNumberFormat="1" applyFont="1" applyFill="1" applyBorder="1"/>
    <xf numFmtId="3" fontId="3" fillId="2" borderId="6" xfId="0" applyNumberFormat="1" applyFont="1" applyFill="1" applyBorder="1"/>
    <xf numFmtId="0" fontId="3" fillId="2" borderId="17" xfId="0" quotePrefix="1" applyFont="1" applyFill="1" applyBorder="1" applyAlignment="1">
      <alignment horizontal="left"/>
    </xf>
    <xf numFmtId="4" fontId="3" fillId="0" borderId="4" xfId="0" quotePrefix="1" applyNumberFormat="1" applyFont="1" applyFill="1" applyBorder="1" applyAlignment="1">
      <alignment horizontal="center"/>
    </xf>
    <xf numFmtId="0" fontId="0" fillId="0" borderId="4" xfId="0" applyFont="1" applyFill="1" applyBorder="1"/>
    <xf numFmtId="49" fontId="0" fillId="0" borderId="4" xfId="0" applyNumberFormat="1" applyFont="1" applyFill="1" applyBorder="1"/>
    <xf numFmtId="168" fontId="3" fillId="0" borderId="4" xfId="0" applyNumberFormat="1" applyFont="1" applyFill="1" applyBorder="1" applyAlignment="1">
      <alignment horizontal="center"/>
    </xf>
    <xf numFmtId="4" fontId="3" fillId="2" borderId="0" xfId="0" applyNumberFormat="1" applyFont="1" applyFill="1" applyBorder="1"/>
    <xf numFmtId="164" fontId="7" fillId="2" borderId="5" xfId="0" applyNumberFormat="1" applyFont="1" applyFill="1" applyBorder="1" applyAlignment="1">
      <alignment horizontal="center" wrapText="1"/>
    </xf>
    <xf numFmtId="164" fontId="7" fillId="9" borderId="4" xfId="0" applyNumberFormat="1" applyFont="1" applyFill="1" applyBorder="1" applyAlignment="1">
      <alignment horizontal="center" wrapText="1"/>
    </xf>
    <xf numFmtId="0" fontId="10" fillId="2" borderId="0" xfId="0" applyFont="1" applyFill="1" applyBorder="1" applyAlignment="1"/>
    <xf numFmtId="0" fontId="5" fillId="2" borderId="0" xfId="0" applyFont="1" applyFill="1" applyBorder="1" applyAlignment="1"/>
    <xf numFmtId="0" fontId="4" fillId="2" borderId="0" xfId="0" applyFont="1" applyFill="1" applyBorder="1" applyAlignment="1"/>
    <xf numFmtId="43" fontId="4" fillId="2" borderId="0" xfId="1" applyFont="1" applyFill="1" applyBorder="1" applyAlignment="1"/>
    <xf numFmtId="43" fontId="4" fillId="2" borderId="0" xfId="0" applyNumberFormat="1" applyFont="1" applyFill="1" applyBorder="1"/>
    <xf numFmtId="0" fontId="5" fillId="2" borderId="0" xfId="0" applyFont="1" applyFill="1"/>
    <xf numFmtId="10" fontId="0" fillId="2" borderId="0" xfId="2" applyNumberFormat="1" applyFont="1" applyFill="1"/>
    <xf numFmtId="38" fontId="0" fillId="2" borderId="0" xfId="0" applyNumberFormat="1" applyFill="1"/>
    <xf numFmtId="167" fontId="11" fillId="0" borderId="0" xfId="0" applyNumberFormat="1" applyFont="1" applyFill="1"/>
    <xf numFmtId="165" fontId="11" fillId="2" borderId="0" xfId="0" applyNumberFormat="1" applyFont="1" applyFill="1"/>
    <xf numFmtId="3" fontId="4" fillId="0" borderId="0" xfId="0" applyNumberFormat="1" applyFont="1" applyFill="1"/>
    <xf numFmtId="0" fontId="36" fillId="2" borderId="0" xfId="0" applyFont="1" applyFill="1"/>
    <xf numFmtId="3" fontId="5" fillId="2" borderId="0" xfId="0" applyNumberFormat="1" applyFont="1" applyFill="1" applyBorder="1"/>
    <xf numFmtId="43" fontId="11" fillId="42" borderId="0" xfId="1" applyFont="1" applyFill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7" fillId="0" borderId="0" xfId="0" applyFont="1"/>
    <xf numFmtId="0" fontId="0" fillId="0" borderId="0" xfId="0" quotePrefix="1" applyAlignment="1">
      <alignment horizontal="center"/>
    </xf>
    <xf numFmtId="0" fontId="0" fillId="0" borderId="29" xfId="0" quotePrefix="1" applyBorder="1" applyAlignment="1">
      <alignment horizontal="center"/>
    </xf>
    <xf numFmtId="0" fontId="5" fillId="0" borderId="6" xfId="0" applyFont="1" applyBorder="1"/>
    <xf numFmtId="0" fontId="5" fillId="0" borderId="3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5" xfId="0" applyFont="1" applyBorder="1" applyAlignment="1">
      <alignment horizontal="centerContinuous"/>
    </xf>
    <xf numFmtId="0" fontId="5" fillId="0" borderId="32" xfId="0" applyFont="1" applyBorder="1" applyAlignment="1">
      <alignment horizontal="centerContinuous"/>
    </xf>
    <xf numFmtId="0" fontId="5" fillId="0" borderId="31" xfId="0" applyFont="1" applyBorder="1"/>
    <xf numFmtId="0" fontId="5" fillId="0" borderId="33" xfId="0" applyFont="1" applyBorder="1" applyAlignment="1">
      <alignment horizontal="center"/>
    </xf>
    <xf numFmtId="0" fontId="5" fillId="0" borderId="31" xfId="0" quotePrefix="1" applyFont="1" applyBorder="1" applyAlignment="1">
      <alignment horizontal="center"/>
    </xf>
    <xf numFmtId="0" fontId="5" fillId="0" borderId="17" xfId="0" applyFont="1" applyBorder="1"/>
    <xf numFmtId="0" fontId="5" fillId="0" borderId="3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38" fillId="0" borderId="4" xfId="0" applyFont="1" applyBorder="1"/>
    <xf numFmtId="1" fontId="0" fillId="0" borderId="4" xfId="0" applyNumberFormat="1" applyBorder="1"/>
    <xf numFmtId="49" fontId="0" fillId="0" borderId="4" xfId="0" applyNumberFormat="1" applyBorder="1" applyAlignment="1" applyProtection="1">
      <alignment horizontal="center"/>
      <protection locked="0"/>
    </xf>
    <xf numFmtId="171" fontId="0" fillId="0" borderId="4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right"/>
      <protection locked="0"/>
    </xf>
    <xf numFmtId="3" fontId="4" fillId="42" borderId="4" xfId="0" applyNumberFormat="1" applyFont="1" applyFill="1" applyBorder="1"/>
    <xf numFmtId="3" fontId="0" fillId="0" borderId="0" xfId="0" applyNumberFormat="1"/>
    <xf numFmtId="3" fontId="5" fillId="42" borderId="4" xfId="0" applyNumberFormat="1" applyFont="1" applyFill="1" applyBorder="1"/>
    <xf numFmtId="49" fontId="7" fillId="2" borderId="0" xfId="0" applyNumberFormat="1" applyFont="1" applyFill="1"/>
    <xf numFmtId="2" fontId="7" fillId="43" borderId="35" xfId="0" applyNumberFormat="1" applyFont="1" applyFill="1" applyBorder="1" applyAlignment="1">
      <alignment horizontal="center" wrapText="1"/>
    </xf>
    <xf numFmtId="2" fontId="7" fillId="43" borderId="36" xfId="0" applyNumberFormat="1" applyFont="1" applyFill="1" applyBorder="1" applyAlignment="1">
      <alignment horizontal="center" wrapText="1"/>
    </xf>
    <xf numFmtId="2" fontId="7" fillId="43" borderId="37" xfId="0" applyNumberFormat="1" applyFont="1" applyFill="1" applyBorder="1" applyAlignment="1">
      <alignment horizontal="center" wrapText="1"/>
    </xf>
    <xf numFmtId="2" fontId="7" fillId="43" borderId="38" xfId="0" applyNumberFormat="1" applyFont="1" applyFill="1" applyBorder="1" applyAlignment="1">
      <alignment horizontal="center" wrapText="1"/>
    </xf>
    <xf numFmtId="2" fontId="7" fillId="43" borderId="2" xfId="0" applyNumberFormat="1" applyFont="1" applyFill="1" applyBorder="1" applyAlignment="1">
      <alignment horizontal="center" wrapText="1"/>
    </xf>
    <xf numFmtId="2" fontId="7" fillId="43" borderId="5" xfId="0" applyNumberFormat="1" applyFont="1" applyFill="1" applyBorder="1" applyAlignment="1">
      <alignment horizontal="center" wrapText="1"/>
    </xf>
    <xf numFmtId="2" fontId="7" fillId="43" borderId="32" xfId="0" applyNumberFormat="1" applyFont="1" applyFill="1" applyBorder="1" applyAlignment="1">
      <alignment horizontal="center" wrapText="1"/>
    </xf>
    <xf numFmtId="49" fontId="7" fillId="44" borderId="4" xfId="0" applyNumberFormat="1" applyFont="1" applyFill="1" applyBorder="1"/>
    <xf numFmtId="0" fontId="7" fillId="44" borderId="4" xfId="0" applyFont="1" applyFill="1" applyBorder="1"/>
    <xf numFmtId="0" fontId="7" fillId="44" borderId="39" xfId="0" applyFont="1" applyFill="1" applyBorder="1"/>
    <xf numFmtId="0" fontId="7" fillId="44" borderId="40" xfId="0" applyFont="1" applyFill="1" applyBorder="1"/>
    <xf numFmtId="0" fontId="7" fillId="44" borderId="32" xfId="0" applyFont="1" applyFill="1" applyBorder="1"/>
    <xf numFmtId="49" fontId="3" fillId="2" borderId="31" xfId="0" applyNumberFormat="1" applyFont="1" applyFill="1" applyBorder="1"/>
    <xf numFmtId="3" fontId="0" fillId="2" borderId="31" xfId="0" applyNumberFormat="1" applyFill="1" applyBorder="1"/>
    <xf numFmtId="3" fontId="0" fillId="2" borderId="41" xfId="0" applyNumberFormat="1" applyFill="1" applyBorder="1"/>
    <xf numFmtId="3" fontId="0" fillId="2" borderId="42" xfId="0" applyNumberFormat="1" applyFill="1" applyBorder="1"/>
    <xf numFmtId="3" fontId="0" fillId="2" borderId="33" xfId="0" applyNumberFormat="1" applyFill="1" applyBorder="1"/>
    <xf numFmtId="3" fontId="0" fillId="2" borderId="7" xfId="0" applyNumberFormat="1" applyFill="1" applyBorder="1"/>
    <xf numFmtId="0" fontId="0" fillId="2" borderId="31" xfId="0" applyFill="1" applyBorder="1"/>
    <xf numFmtId="0" fontId="0" fillId="2" borderId="42" xfId="0" applyFill="1" applyBorder="1"/>
    <xf numFmtId="49" fontId="3" fillId="2" borderId="17" xfId="0" applyNumberFormat="1" applyFont="1" applyFill="1" applyBorder="1"/>
    <xf numFmtId="3" fontId="0" fillId="2" borderId="43" xfId="0" applyNumberFormat="1" applyFill="1" applyBorder="1"/>
    <xf numFmtId="0" fontId="0" fillId="2" borderId="17" xfId="0" applyFill="1" applyBorder="1"/>
    <xf numFmtId="0" fontId="0" fillId="2" borderId="44" xfId="0" applyFill="1" applyBorder="1"/>
    <xf numFmtId="3" fontId="0" fillId="2" borderId="34" xfId="0" applyNumberFormat="1" applyFill="1" applyBorder="1"/>
    <xf numFmtId="3" fontId="0" fillId="2" borderId="17" xfId="0" applyNumberFormat="1" applyFill="1" applyBorder="1"/>
    <xf numFmtId="49" fontId="3" fillId="43" borderId="4" xfId="0" applyNumberFormat="1" applyFont="1" applyFill="1" applyBorder="1"/>
    <xf numFmtId="167" fontId="3" fillId="43" borderId="4" xfId="0" applyNumberFormat="1" applyFont="1" applyFill="1" applyBorder="1"/>
    <xf numFmtId="167" fontId="3" fillId="43" borderId="39" xfId="0" applyNumberFormat="1" applyFont="1" applyFill="1" applyBorder="1"/>
    <xf numFmtId="167" fontId="3" fillId="43" borderId="40" xfId="0" applyNumberFormat="1" applyFont="1" applyFill="1" applyBorder="1"/>
    <xf numFmtId="167" fontId="3" fillId="43" borderId="32" xfId="0" applyNumberFormat="1" applyFont="1" applyFill="1" applyBorder="1"/>
    <xf numFmtId="10" fontId="3" fillId="43" borderId="4" xfId="0" applyNumberFormat="1" applyFont="1" applyFill="1" applyBorder="1"/>
    <xf numFmtId="49" fontId="7" fillId="43" borderId="4" xfId="0" applyNumberFormat="1" applyFont="1" applyFill="1" applyBorder="1"/>
    <xf numFmtId="167" fontId="7" fillId="43" borderId="4" xfId="0" applyNumberFormat="1" applyFont="1" applyFill="1" applyBorder="1"/>
    <xf numFmtId="167" fontId="7" fillId="43" borderId="39" xfId="0" applyNumberFormat="1" applyFont="1" applyFill="1" applyBorder="1"/>
    <xf numFmtId="167" fontId="7" fillId="43" borderId="40" xfId="0" applyNumberFormat="1" applyFont="1" applyFill="1" applyBorder="1"/>
    <xf numFmtId="167" fontId="7" fillId="43" borderId="32" xfId="0" applyNumberFormat="1" applyFont="1" applyFill="1" applyBorder="1"/>
    <xf numFmtId="10" fontId="7" fillId="43" borderId="4" xfId="0" applyNumberFormat="1" applyFont="1" applyFill="1" applyBorder="1"/>
    <xf numFmtId="49" fontId="0" fillId="2" borderId="0" xfId="0" applyNumberFormat="1" applyFill="1"/>
    <xf numFmtId="0" fontId="39" fillId="2" borderId="0" xfId="0" applyFont="1" applyFill="1"/>
    <xf numFmtId="2" fontId="7" fillId="43" borderId="8" xfId="0" applyNumberFormat="1" applyFont="1" applyFill="1" applyBorder="1" applyAlignment="1">
      <alignment horizontal="center" wrapText="1"/>
    </xf>
    <xf numFmtId="2" fontId="7" fillId="43" borderId="6" xfId="0" applyNumberFormat="1" applyFont="1" applyFill="1" applyBorder="1" applyAlignment="1">
      <alignment horizontal="center" wrapText="1"/>
    </xf>
    <xf numFmtId="0" fontId="0" fillId="0" borderId="43" xfId="0" applyBorder="1" applyAlignment="1">
      <alignment wrapText="1"/>
    </xf>
    <xf numFmtId="0" fontId="0" fillId="0" borderId="17" xfId="0" applyBorder="1" applyAlignment="1">
      <alignment wrapText="1"/>
    </xf>
    <xf numFmtId="167" fontId="3" fillId="44" borderId="4" xfId="0" applyNumberFormat="1" applyFont="1" applyFill="1" applyBorder="1"/>
    <xf numFmtId="2" fontId="7" fillId="43" borderId="17" xfId="0" applyNumberFormat="1" applyFont="1" applyFill="1" applyBorder="1" applyAlignment="1">
      <alignment horizontal="center" wrapText="1"/>
    </xf>
    <xf numFmtId="49" fontId="3" fillId="44" borderId="5" xfId="0" applyNumberFormat="1" applyFont="1" applyFill="1" applyBorder="1" applyAlignment="1">
      <alignment wrapText="1"/>
    </xf>
    <xf numFmtId="0" fontId="0" fillId="44" borderId="32" xfId="0" applyFill="1" applyBorder="1" applyAlignment="1">
      <alignment wrapText="1"/>
    </xf>
    <xf numFmtId="49" fontId="3" fillId="43" borderId="5" xfId="0" applyNumberFormat="1" applyFont="1" applyFill="1" applyBorder="1" applyAlignment="1">
      <alignment wrapText="1"/>
    </xf>
    <xf numFmtId="0" fontId="0" fillId="0" borderId="32" xfId="0" applyBorder="1" applyAlignment="1">
      <alignment wrapText="1"/>
    </xf>
    <xf numFmtId="49" fontId="7" fillId="43" borderId="5" xfId="0" applyNumberFormat="1" applyFont="1" applyFill="1" applyBorder="1" applyAlignment="1">
      <alignment wrapText="1"/>
    </xf>
    <xf numFmtId="0" fontId="7" fillId="0" borderId="32" xfId="0" applyFont="1" applyBorder="1" applyAlignment="1">
      <alignment wrapText="1"/>
    </xf>
    <xf numFmtId="10" fontId="0" fillId="2" borderId="0" xfId="0" applyNumberFormat="1" applyFill="1"/>
    <xf numFmtId="49" fontId="3" fillId="44" borderId="4" xfId="0" applyNumberFormat="1" applyFont="1" applyFill="1" applyBorder="1"/>
    <xf numFmtId="49" fontId="3" fillId="0" borderId="0" xfId="0" applyNumberFormat="1" applyFont="1"/>
    <xf numFmtId="167" fontId="0" fillId="2" borderId="0" xfId="0" applyNumberFormat="1" applyFill="1"/>
  </cellXfs>
  <cellStyles count="61">
    <cellStyle name="20% - Accent1" xfId="20" builtinId="30" customBuiltin="1"/>
    <cellStyle name="20% - Accent1 2" xfId="47" xr:uid="{00000000-0005-0000-0000-000001000000}"/>
    <cellStyle name="20% - Accent2" xfId="24" builtinId="34" customBuiltin="1"/>
    <cellStyle name="20% - Accent2 2" xfId="49" xr:uid="{00000000-0005-0000-0000-000003000000}"/>
    <cellStyle name="20% - Accent3" xfId="28" builtinId="38" customBuiltin="1"/>
    <cellStyle name="20% - Accent3 2" xfId="51" xr:uid="{00000000-0005-0000-0000-000005000000}"/>
    <cellStyle name="20% - Accent4" xfId="32" builtinId="42" customBuiltin="1"/>
    <cellStyle name="20% - Accent4 2" xfId="53" xr:uid="{00000000-0005-0000-0000-000007000000}"/>
    <cellStyle name="20% - Accent5" xfId="36" builtinId="46" customBuiltin="1"/>
    <cellStyle name="20% - Accent5 2" xfId="55" xr:uid="{00000000-0005-0000-0000-000009000000}"/>
    <cellStyle name="20% - Accent6" xfId="40" builtinId="50" customBuiltin="1"/>
    <cellStyle name="20% - Accent6 2" xfId="57" xr:uid="{00000000-0005-0000-0000-00000B000000}"/>
    <cellStyle name="40% - Accent1" xfId="21" builtinId="31" customBuiltin="1"/>
    <cellStyle name="40% - Accent1 2" xfId="48" xr:uid="{00000000-0005-0000-0000-00000D000000}"/>
    <cellStyle name="40% - Accent2" xfId="25" builtinId="35" customBuiltin="1"/>
    <cellStyle name="40% - Accent2 2" xfId="50" xr:uid="{00000000-0005-0000-0000-00000F000000}"/>
    <cellStyle name="40% - Accent3" xfId="29" builtinId="39" customBuiltin="1"/>
    <cellStyle name="40% - Accent3 2" xfId="52" xr:uid="{00000000-0005-0000-0000-000011000000}"/>
    <cellStyle name="40% - Accent4" xfId="33" builtinId="43" customBuiltin="1"/>
    <cellStyle name="40% - Accent4 2" xfId="54" xr:uid="{00000000-0005-0000-0000-000013000000}"/>
    <cellStyle name="40% - Accent5" xfId="37" builtinId="47" customBuiltin="1"/>
    <cellStyle name="40% - Accent5 2" xfId="56" xr:uid="{00000000-0005-0000-0000-000015000000}"/>
    <cellStyle name="40% - Accent6" xfId="41" builtinId="51" customBuiltin="1"/>
    <cellStyle name="40% - Accent6 2" xfId="58" xr:uid="{00000000-0005-0000-0000-00001700000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00000000-0005-0000-0000-000028000000}"/>
    <cellStyle name="Currency 2" xfId="46" xr:uid="{00000000-0005-0000-0000-000029000000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 xr:uid="{00000000-0005-0000-0000-000034000000}"/>
    <cellStyle name="Normal 2 2" xfId="59" xr:uid="{00000000-0005-0000-0000-000035000000}"/>
    <cellStyle name="Note 2" xfId="44" xr:uid="{00000000-0005-0000-0000-000036000000}"/>
    <cellStyle name="Note 2 2" xfId="60" xr:uid="{00000000-0005-0000-0000-000037000000}"/>
    <cellStyle name="Output" xfId="12" builtinId="21" customBuiltin="1"/>
    <cellStyle name="Percent" xfId="2" builtinId="5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FF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ource&amp;Performance/Finance%20&amp;%20IT/Information%20Management/Finance%20-%20Proposed%20Structure/Directorate%20Management/Statistical%20Returns/0910/Schools/Section%2052%20Statement%202010-11%20Amended%2026.05.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ource&amp;Performance/Finance%20&amp;%20IT/Information%20Management/Finance%20-%20Proposed%20Structure/Directorate%20Management/Budget%20Estimates/Revenue/1011/Schools/Section%2052%20Updated%20Part%201-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ource&amp;Performance/Finance%20&amp;%20IT/Information%20Management/Finance%20-%20Proposed%20Structure/Directorate%20Management/Budget%20Estimates/Revenue/1112/Schools/Section%2052%202010-11%202011-12%20Comparis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ource&amp;Performance/Finance%20&amp;%20IT/Information%20Management/Finance%20-%20Proposed%20Structure/Directorate%20Management/Statistical%20Returns/2223/Section%2052%20Part1/Part1E_548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Nursery"/>
      <sheetName val="Primary"/>
      <sheetName val="Secondary"/>
      <sheetName val="Special"/>
      <sheetName val="Transfer"/>
      <sheetName val="Details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UACode</v>
          </cell>
          <cell r="B2" t="str">
            <v>AuthorityName</v>
          </cell>
          <cell r="C2" t="str">
            <v>S52BName</v>
          </cell>
          <cell r="D2" t="str">
            <v>S52BEMail</v>
          </cell>
          <cell r="E2" t="str">
            <v>S52BSTDCode</v>
          </cell>
          <cell r="F2" t="str">
            <v>S52BNumber</v>
          </cell>
          <cell r="G2" t="str">
            <v>LEAAddress1</v>
          </cell>
          <cell r="H2" t="str">
            <v>LEAAddress2</v>
          </cell>
          <cell r="I2" t="str">
            <v>LEAAddress3</v>
          </cell>
          <cell r="J2" t="str">
            <v>LEAAddress4</v>
          </cell>
          <cell r="K2" t="str">
            <v>LEAAddress5</v>
          </cell>
          <cell r="L2" t="str">
            <v>LEAPostcode</v>
          </cell>
          <cell r="M2" t="str">
            <v>LEAPostcode</v>
          </cell>
        </row>
        <row r="3">
          <cell r="A3">
            <v>512</v>
          </cell>
          <cell r="B3" t="str">
            <v>Cyngor Sir Ynys Môn</v>
          </cell>
          <cell r="C3" t="str">
            <v>Bethan Owen</v>
          </cell>
          <cell r="D3" t="str">
            <v>BHOFI@anglesey.gov.uk</v>
          </cell>
          <cell r="E3" t="str">
            <v>01248</v>
          </cell>
          <cell r="F3" t="str">
            <v>752076</v>
          </cell>
          <cell r="G3" t="str">
            <v>Education Service</v>
          </cell>
          <cell r="H3" t="str">
            <v>Park Mount</v>
          </cell>
          <cell r="I3" t="str">
            <v>Glanhwfa Road</v>
          </cell>
          <cell r="J3" t="str">
            <v>Llangefni</v>
          </cell>
          <cell r="K3" t="str">
            <v>Anglesey</v>
          </cell>
          <cell r="L3" t="str">
            <v>LL77 7EY</v>
          </cell>
          <cell r="M3" t="str">
            <v>LL77 7EY</v>
          </cell>
        </row>
        <row r="4">
          <cell r="A4">
            <v>514</v>
          </cell>
          <cell r="B4" t="str">
            <v>Cyngor Gwynedd</v>
          </cell>
          <cell r="C4" t="str">
            <v>Hefin Owen</v>
          </cell>
          <cell r="D4" t="str">
            <v>hefinowen@gwynedd.gov.uk</v>
          </cell>
          <cell r="E4" t="str">
            <v>01286</v>
          </cell>
          <cell r="F4" t="str">
            <v>679061</v>
          </cell>
          <cell r="G4" t="str">
            <v>Schools Service Development Directorate,</v>
          </cell>
          <cell r="H4" t="str">
            <v>Council Offices</v>
          </cell>
          <cell r="I4" t="str">
            <v>Caernarfon</v>
          </cell>
          <cell r="J4" t="str">
            <v>Gwynedd</v>
          </cell>
          <cell r="L4" t="str">
            <v>LL55 1SH</v>
          </cell>
          <cell r="M4" t="str">
            <v>LL55 1SH</v>
          </cell>
        </row>
        <row r="5">
          <cell r="A5">
            <v>516</v>
          </cell>
          <cell r="B5" t="str">
            <v>Conwy County Borough Council</v>
          </cell>
          <cell r="C5" t="str">
            <v>Liz Thomas</v>
          </cell>
          <cell r="D5" t="str">
            <v>Elizabeth.j.thomas@conwy.gov.uk</v>
          </cell>
          <cell r="E5" t="str">
            <v>01492</v>
          </cell>
          <cell r="F5" t="str">
            <v>575067</v>
          </cell>
          <cell r="G5" t="str">
            <v>Education Department</v>
          </cell>
          <cell r="H5" t="str">
            <v>Government Buildings</v>
          </cell>
          <cell r="I5" t="str">
            <v>Dinerth Road</v>
          </cell>
          <cell r="J5" t="str">
            <v>Colwyn Bay</v>
          </cell>
          <cell r="K5" t="str">
            <v>Conwy</v>
          </cell>
          <cell r="L5" t="str">
            <v>LL28 4UL</v>
          </cell>
          <cell r="M5" t="str">
            <v>LL28 4UL</v>
          </cell>
        </row>
        <row r="6">
          <cell r="A6">
            <v>518</v>
          </cell>
          <cell r="B6" t="str">
            <v>Denbighshire County Council</v>
          </cell>
          <cell r="C6" t="str">
            <v>Graham Davies</v>
          </cell>
          <cell r="D6" t="str">
            <v>graham.davies@denbighshire.gov.uk</v>
          </cell>
          <cell r="E6" t="str">
            <v>01824</v>
          </cell>
          <cell r="F6" t="str">
            <v>712624</v>
          </cell>
          <cell r="G6" t="str">
            <v>The Corporate Director of Lifelong Learning</v>
          </cell>
          <cell r="H6" t="str">
            <v>Denbighshire County Council</v>
          </cell>
          <cell r="I6" t="str">
            <v>County Hall</v>
          </cell>
          <cell r="J6" t="str">
            <v>Wynnstay Road</v>
          </cell>
          <cell r="K6" t="str">
            <v>Ruthin</v>
          </cell>
          <cell r="L6" t="str">
            <v>LL15 1YN</v>
          </cell>
          <cell r="M6" t="str">
            <v>LL15 1YN</v>
          </cell>
        </row>
        <row r="7">
          <cell r="A7">
            <v>520</v>
          </cell>
          <cell r="B7" t="str">
            <v>Flintshire County Council</v>
          </cell>
          <cell r="C7" t="str">
            <v>Gaynor Myers</v>
          </cell>
          <cell r="D7" t="str">
            <v>Gaynor.Myers@flintshire.gov.uk</v>
          </cell>
          <cell r="E7" t="str">
            <v>01352</v>
          </cell>
          <cell r="F7" t="str">
            <v>704016</v>
          </cell>
          <cell r="G7" t="str">
            <v>Education Department</v>
          </cell>
          <cell r="H7" t="str">
            <v>County Hall</v>
          </cell>
          <cell r="I7" t="str">
            <v>Mold</v>
          </cell>
          <cell r="J7" t="str">
            <v>Flintshire</v>
          </cell>
          <cell r="L7" t="str">
            <v>CH7 6ND</v>
          </cell>
          <cell r="M7" t="str">
            <v>CH7 6ND</v>
          </cell>
        </row>
        <row r="8">
          <cell r="A8">
            <v>522</v>
          </cell>
          <cell r="B8" t="str">
            <v>Wrexham County Borough Council</v>
          </cell>
          <cell r="C8" t="str">
            <v>Liz Clutton</v>
          </cell>
          <cell r="D8" t="str">
            <v>Liz.Clutton@wrexham.gov.uk</v>
          </cell>
          <cell r="E8" t="str">
            <v>01978</v>
          </cell>
          <cell r="F8" t="str">
            <v>297455</v>
          </cell>
          <cell r="G8" t="str">
            <v>Education and Leisure Services Directorate</v>
          </cell>
          <cell r="H8" t="str">
            <v>Ty Henblas</v>
          </cell>
          <cell r="I8" t="str">
            <v>Queens Square</v>
          </cell>
          <cell r="J8" t="str">
            <v>Wrexham</v>
          </cell>
          <cell r="L8" t="str">
            <v>LL13 8AZ</v>
          </cell>
          <cell r="M8" t="str">
            <v>LL13 8AZ</v>
          </cell>
        </row>
        <row r="9">
          <cell r="A9">
            <v>524</v>
          </cell>
          <cell r="B9" t="str">
            <v>Powys County Council</v>
          </cell>
          <cell r="C9" t="str">
            <v>Jane Thomas</v>
          </cell>
          <cell r="D9" t="str">
            <v>jthomas@powys.gov.uk</v>
          </cell>
          <cell r="E9" t="str">
            <v>01597</v>
          </cell>
          <cell r="F9" t="str">
            <v>826429</v>
          </cell>
          <cell r="G9" t="str">
            <v>Education Department</v>
          </cell>
          <cell r="H9" t="str">
            <v>Powys County Hall</v>
          </cell>
          <cell r="I9" t="str">
            <v>Llandrindod Wells</v>
          </cell>
          <cell r="J9" t="str">
            <v>Powys</v>
          </cell>
          <cell r="L9" t="str">
            <v>LD1 5LG</v>
          </cell>
          <cell r="M9" t="str">
            <v>LD1 5LG</v>
          </cell>
        </row>
        <row r="10">
          <cell r="A10">
            <v>526</v>
          </cell>
          <cell r="B10" t="str">
            <v>Ceredigion County Council</v>
          </cell>
          <cell r="C10" t="str">
            <v>Carys Owen</v>
          </cell>
          <cell r="D10" t="str">
            <v>caryso@ceredigion.gov.uk</v>
          </cell>
          <cell r="E10" t="str">
            <v>01970</v>
          </cell>
          <cell r="F10" t="str">
            <v>633648</v>
          </cell>
          <cell r="G10" t="str">
            <v>Department of Education and Community Services</v>
          </cell>
          <cell r="H10" t="str">
            <v>Swyddfa’r Sir</v>
          </cell>
          <cell r="I10" t="str">
            <v>Marine Terrace</v>
          </cell>
          <cell r="J10" t="str">
            <v>Aberystwyth</v>
          </cell>
          <cell r="K10" t="str">
            <v>Ceredigion</v>
          </cell>
          <cell r="L10" t="str">
            <v>SY23 2DE</v>
          </cell>
          <cell r="M10" t="str">
            <v>SY23 2DE</v>
          </cell>
        </row>
        <row r="11">
          <cell r="A11">
            <v>528</v>
          </cell>
          <cell r="B11" t="str">
            <v>Pembrokeshire County Council</v>
          </cell>
          <cell r="C11" t="str">
            <v>Ian Eynon</v>
          </cell>
          <cell r="D11" t="str">
            <v>Ian.eynon@pembrokeshire.gov.uk</v>
          </cell>
          <cell r="E11" t="str">
            <v>01437</v>
          </cell>
          <cell r="F11" t="str">
            <v>775145</v>
          </cell>
          <cell r="G11" t="str">
            <v>Education Department</v>
          </cell>
          <cell r="H11" t="str">
            <v>Cambria House</v>
          </cell>
          <cell r="I11" t="str">
            <v>PO Box 27</v>
          </cell>
          <cell r="J11" t="str">
            <v>Haverfordwest</v>
          </cell>
          <cell r="K11" t="str">
            <v>Pembrokeshire</v>
          </cell>
          <cell r="L11" t="str">
            <v>SA61 1TP</v>
          </cell>
          <cell r="M11" t="str">
            <v>SA61 1TP</v>
          </cell>
        </row>
        <row r="12">
          <cell r="A12">
            <v>530</v>
          </cell>
          <cell r="B12" t="str">
            <v>Carmarthenshire County Council</v>
          </cell>
          <cell r="C12" t="str">
            <v>Richard Evans</v>
          </cell>
          <cell r="D12" t="str">
            <v>REvans@carmarthenshire.gov.uk</v>
          </cell>
          <cell r="E12" t="str">
            <v>01267</v>
          </cell>
          <cell r="F12" t="str">
            <v>224580</v>
          </cell>
          <cell r="G12" t="str">
            <v xml:space="preserve">Education Department </v>
          </cell>
          <cell r="H12" t="str">
            <v>Pibwrlwyd</v>
          </cell>
          <cell r="I12" t="str">
            <v>Carmarthen</v>
          </cell>
          <cell r="J12" t="str">
            <v>Carmarthenshire</v>
          </cell>
          <cell r="L12" t="str">
            <v>SA31 2NH</v>
          </cell>
          <cell r="M12" t="str">
            <v>SA31 2NH</v>
          </cell>
        </row>
        <row r="13">
          <cell r="A13">
            <v>532</v>
          </cell>
          <cell r="B13" t="str">
            <v>City and County of Swansea</v>
          </cell>
          <cell r="C13" t="str">
            <v>Kelly Small</v>
          </cell>
          <cell r="D13" t="str">
            <v>Kelly.Small@swansea.gov.uk</v>
          </cell>
          <cell r="E13" t="str">
            <v>01792</v>
          </cell>
          <cell r="F13" t="str">
            <v>636686</v>
          </cell>
          <cell r="G13" t="str">
            <v>Education Department</v>
          </cell>
          <cell r="H13" t="str">
            <v>County Hall</v>
          </cell>
          <cell r="I13" t="str">
            <v>Oystermouth Road</v>
          </cell>
          <cell r="J13" t="str">
            <v>Swansea</v>
          </cell>
          <cell r="L13" t="str">
            <v>SA1 3SN</v>
          </cell>
          <cell r="M13" t="str">
            <v>SA1 3SN</v>
          </cell>
        </row>
        <row r="14">
          <cell r="A14">
            <v>534</v>
          </cell>
          <cell r="B14" t="str">
            <v>Neath Port Talbot County Borough Council</v>
          </cell>
          <cell r="C14" t="str">
            <v>Julie Merrifield</v>
          </cell>
          <cell r="D14" t="str">
            <v>j.merrifield@neath-porttalbot.gov.uk</v>
          </cell>
          <cell r="E14" t="str">
            <v>01639</v>
          </cell>
          <cell r="F14" t="str">
            <v>763554</v>
          </cell>
          <cell r="G14" t="str">
            <v>Education Department</v>
          </cell>
          <cell r="H14" t="str">
            <v>Civic Centre</v>
          </cell>
          <cell r="I14" t="str">
            <v>Port Talbot</v>
          </cell>
          <cell r="J14" t="str">
            <v>Neath Port Talbot</v>
          </cell>
          <cell r="L14" t="str">
            <v>SA13 1PJ</v>
          </cell>
          <cell r="M14" t="str">
            <v>SA13 1PJ</v>
          </cell>
        </row>
        <row r="15">
          <cell r="A15">
            <v>536</v>
          </cell>
          <cell r="B15" t="str">
            <v>Bridgend County Borough Council</v>
          </cell>
          <cell r="C15" t="str">
            <v>Debbie Exton</v>
          </cell>
          <cell r="D15" t="str">
            <v>extond@bridgend.gov.uk</v>
          </cell>
          <cell r="E15" t="str">
            <v>01656</v>
          </cell>
          <cell r="F15" t="str">
            <v>642627</v>
          </cell>
          <cell r="G15" t="str">
            <v>Education Department</v>
          </cell>
          <cell r="H15" t="str">
            <v>Civic Offices</v>
          </cell>
          <cell r="I15" t="str">
            <v>Sunnyside</v>
          </cell>
          <cell r="J15" t="str">
            <v>Bridgend</v>
          </cell>
          <cell r="L15" t="str">
            <v>CF31 4AR</v>
          </cell>
          <cell r="M15" t="str">
            <v>CF31 4AR</v>
          </cell>
        </row>
        <row r="16">
          <cell r="A16">
            <v>538</v>
          </cell>
          <cell r="B16" t="str">
            <v>Vale of Glamorgan Council</v>
          </cell>
          <cell r="C16" t="str">
            <v>Ian Teagle</v>
          </cell>
          <cell r="D16" t="str">
            <v>iteagle@valeofglamorgan.gov.uk</v>
          </cell>
          <cell r="E16" t="str">
            <v>01446</v>
          </cell>
          <cell r="F16" t="str">
            <v>709118</v>
          </cell>
          <cell r="G16" t="str">
            <v>Education Department</v>
          </cell>
          <cell r="H16" t="str">
            <v>Provincial House</v>
          </cell>
          <cell r="I16" t="str">
            <v>Kendrick Road</v>
          </cell>
          <cell r="J16" t="str">
            <v>Barry</v>
          </cell>
          <cell r="K16" t="str">
            <v>Vale of Glamorgan</v>
          </cell>
          <cell r="L16" t="str">
            <v>CF62 8DJ</v>
          </cell>
          <cell r="M16" t="str">
            <v>CF62 8DJ</v>
          </cell>
        </row>
        <row r="17">
          <cell r="A17">
            <v>540</v>
          </cell>
          <cell r="B17" t="str">
            <v>Rhondda Cynon Taf C.B.C.</v>
          </cell>
          <cell r="C17" t="str">
            <v>Catrin Edwards</v>
          </cell>
          <cell r="D17" t="str">
            <v>Catrin.S.Edwards@rhondda-cynon-taff.gov.uk</v>
          </cell>
          <cell r="E17" t="str">
            <v>01443</v>
          </cell>
          <cell r="F17" t="str">
            <v>744205</v>
          </cell>
          <cell r="G17" t="str">
            <v>Education Department</v>
          </cell>
          <cell r="H17" t="str">
            <v>Ty Trevithick</v>
          </cell>
          <cell r="I17" t="str">
            <v>Abercynon</v>
          </cell>
          <cell r="J17" t="str">
            <v>Mountain Ash</v>
          </cell>
          <cell r="K17" t="str">
            <v>Rhondda Cynon Taf</v>
          </cell>
          <cell r="L17" t="str">
            <v>CF45 4UQ</v>
          </cell>
          <cell r="M17" t="str">
            <v>CF45 4UQ</v>
          </cell>
        </row>
        <row r="18">
          <cell r="A18">
            <v>542</v>
          </cell>
          <cell r="B18" t="str">
            <v>Merthyr Tydfil County Borough Council</v>
          </cell>
          <cell r="C18" t="str">
            <v>Anthony Lewis</v>
          </cell>
          <cell r="D18" t="str">
            <v>anthony.lewis@merthyr.gov.uk</v>
          </cell>
          <cell r="E18" t="str">
            <v>01685</v>
          </cell>
          <cell r="F18" t="str">
            <v>725458</v>
          </cell>
          <cell r="G18" t="str">
            <v>Education Department</v>
          </cell>
          <cell r="H18" t="str">
            <v>Ty Keir Hardie</v>
          </cell>
          <cell r="I18" t="str">
            <v>Riverside Court</v>
          </cell>
          <cell r="J18" t="str">
            <v>Avenue de Clichy</v>
          </cell>
          <cell r="K18" t="str">
            <v>Merthyr Tydfil</v>
          </cell>
          <cell r="L18" t="str">
            <v>CF47 8XD</v>
          </cell>
          <cell r="M18" t="str">
            <v>CF47 8XD</v>
          </cell>
        </row>
        <row r="19">
          <cell r="A19">
            <v>544</v>
          </cell>
          <cell r="B19" t="str">
            <v>Caerphilly County Borough Council</v>
          </cell>
          <cell r="C19" t="str">
            <v>Matthew Gingell</v>
          </cell>
          <cell r="D19" t="str">
            <v>gingem@caerphilly.gov.uk</v>
          </cell>
          <cell r="E19" t="str">
            <v>01443</v>
          </cell>
          <cell r="F19" t="str">
            <v>864899</v>
          </cell>
          <cell r="G19" t="str">
            <v>Directorate of Education and Leisure</v>
          </cell>
          <cell r="H19" t="str">
            <v>County Offices</v>
          </cell>
          <cell r="I19" t="str">
            <v>Caerphilly Road</v>
          </cell>
          <cell r="J19" t="str">
            <v>Ystrad Mynach Hengoed</v>
          </cell>
          <cell r="K19" t="str">
            <v>Caerphilly</v>
          </cell>
          <cell r="L19" t="str">
            <v>CF82 7EP</v>
          </cell>
          <cell r="M19" t="str">
            <v>CF82 7EP</v>
          </cell>
        </row>
        <row r="20">
          <cell r="A20">
            <v>545</v>
          </cell>
          <cell r="B20" t="str">
            <v>Blaenau Gwent County Borough Council</v>
          </cell>
          <cell r="C20" t="str">
            <v>Dave McAuliffe</v>
          </cell>
          <cell r="D20" t="str">
            <v>dave.mcauliffe@blaenau-gwent.gov.uk</v>
          </cell>
          <cell r="E20" t="str">
            <v>01495</v>
          </cell>
          <cell r="F20" t="str">
            <v>355123</v>
          </cell>
          <cell r="G20" t="str">
            <v>Education Department</v>
          </cell>
          <cell r="H20" t="str">
            <v>Victoria House</v>
          </cell>
          <cell r="I20" t="str">
            <v>Victoria Business Park</v>
          </cell>
          <cell r="J20" t="str">
            <v>Ebbw Vale</v>
          </cell>
          <cell r="K20" t="str">
            <v>Blaenau Gwent</v>
          </cell>
          <cell r="L20" t="str">
            <v>NP3 6ER</v>
          </cell>
          <cell r="M20" t="str">
            <v>NP3 6ER</v>
          </cell>
        </row>
        <row r="21">
          <cell r="A21">
            <v>546</v>
          </cell>
          <cell r="B21" t="str">
            <v>Torfaen County Borough Council</v>
          </cell>
          <cell r="C21" t="str">
            <v>Darren Joseph</v>
          </cell>
          <cell r="D21" t="str">
            <v>darren.joseph@torfaen.gov.uk</v>
          </cell>
          <cell r="E21" t="str">
            <v>01633</v>
          </cell>
          <cell r="F21" t="str">
            <v>647334</v>
          </cell>
          <cell r="G21" t="str">
            <v>Education Department</v>
          </cell>
          <cell r="H21" t="str">
            <v>County Hall</v>
          </cell>
          <cell r="I21" t="str">
            <v xml:space="preserve">Cwmbran </v>
          </cell>
          <cell r="J21" t="str">
            <v>Torfaen</v>
          </cell>
          <cell r="L21" t="str">
            <v>NP44 2WN</v>
          </cell>
          <cell r="M21" t="str">
            <v>NP44 2WN</v>
          </cell>
        </row>
        <row r="22">
          <cell r="A22">
            <v>548</v>
          </cell>
          <cell r="B22" t="str">
            <v>Monmouthshire County Council</v>
          </cell>
          <cell r="C22" t="str">
            <v>Nicola Wellington</v>
          </cell>
          <cell r="D22" t="str">
            <v>nicolawellington@monmouthshire.gov.uk</v>
          </cell>
          <cell r="E22" t="str">
            <v>01633</v>
          </cell>
          <cell r="F22" t="str">
            <v>644495</v>
          </cell>
          <cell r="G22" t="str">
            <v>Education Department</v>
          </cell>
          <cell r="H22" t="str">
            <v>County Hall</v>
          </cell>
          <cell r="I22" t="str">
            <v>Cwmbran</v>
          </cell>
          <cell r="J22" t="str">
            <v>Monmouthshire</v>
          </cell>
          <cell r="L22" t="str">
            <v>NP44 2XH</v>
          </cell>
          <cell r="M22" t="str">
            <v>NP44 2XH</v>
          </cell>
        </row>
        <row r="23">
          <cell r="A23">
            <v>550</v>
          </cell>
          <cell r="B23" t="str">
            <v>Newport City Council</v>
          </cell>
          <cell r="C23" t="str">
            <v>Jason Brown</v>
          </cell>
          <cell r="D23" t="str">
            <v>jason.brown@newport.gov.uk;Chris.jones@newport.gov.uk</v>
          </cell>
          <cell r="E23" t="str">
            <v>01633</v>
          </cell>
          <cell r="F23" t="str">
            <v>233361</v>
          </cell>
          <cell r="G23" t="str">
            <v>Education Department</v>
          </cell>
          <cell r="H23" t="str">
            <v>Civic Centre</v>
          </cell>
          <cell r="I23" t="str">
            <v>Newport</v>
          </cell>
          <cell r="L23" t="str">
            <v>NP9 4UR</v>
          </cell>
          <cell r="M23" t="str">
            <v>NP9 4UR</v>
          </cell>
        </row>
        <row r="24">
          <cell r="A24">
            <v>552</v>
          </cell>
          <cell r="B24" t="str">
            <v>The City and County of Cardiff</v>
          </cell>
          <cell r="C24" t="str">
            <v>Colin Coles</v>
          </cell>
          <cell r="D24" t="str">
            <v>c.coles@cardiff.gov.uk</v>
          </cell>
          <cell r="E24" t="str">
            <v>029 20</v>
          </cell>
          <cell r="F24" t="str">
            <v>872817</v>
          </cell>
          <cell r="G24" t="str">
            <v>Education Department</v>
          </cell>
          <cell r="H24" t="str">
            <v>County Hall</v>
          </cell>
          <cell r="I24" t="str">
            <v>Atlantic Wharf</v>
          </cell>
          <cell r="J24" t="str">
            <v>Cardiff</v>
          </cell>
          <cell r="L24" t="str">
            <v>CF1 5UW</v>
          </cell>
          <cell r="M24" t="str">
            <v>CF1 5UW</v>
          </cell>
        </row>
      </sheetData>
      <sheetData sheetId="7">
        <row r="1">
          <cell r="A1" t="str">
            <v>UACode</v>
          </cell>
          <cell r="B1" t="str">
            <v>LEACode</v>
          </cell>
          <cell r="C1" t="str">
            <v>LEAName</v>
          </cell>
        </row>
        <row r="2">
          <cell r="A2">
            <v>512</v>
          </cell>
          <cell r="B2">
            <v>660</v>
          </cell>
          <cell r="C2" t="str">
            <v>Isle of Anglesey</v>
          </cell>
        </row>
        <row r="3">
          <cell r="A3">
            <v>514</v>
          </cell>
          <cell r="B3">
            <v>661</v>
          </cell>
          <cell r="C3" t="str">
            <v>Gwynedd</v>
          </cell>
        </row>
        <row r="4">
          <cell r="A4">
            <v>516</v>
          </cell>
          <cell r="B4">
            <v>662</v>
          </cell>
          <cell r="C4" t="str">
            <v>Conwy</v>
          </cell>
        </row>
        <row r="5">
          <cell r="A5">
            <v>518</v>
          </cell>
          <cell r="B5">
            <v>663</v>
          </cell>
          <cell r="C5" t="str">
            <v>Denbighshire</v>
          </cell>
        </row>
        <row r="6">
          <cell r="A6">
            <v>520</v>
          </cell>
          <cell r="B6">
            <v>664</v>
          </cell>
          <cell r="C6" t="str">
            <v>Flintshire</v>
          </cell>
        </row>
        <row r="7">
          <cell r="A7">
            <v>522</v>
          </cell>
          <cell r="B7">
            <v>665</v>
          </cell>
          <cell r="C7" t="str">
            <v>Wrexham</v>
          </cell>
        </row>
        <row r="8">
          <cell r="A8">
            <v>524</v>
          </cell>
          <cell r="B8">
            <v>666</v>
          </cell>
          <cell r="C8" t="str">
            <v>Powys</v>
          </cell>
        </row>
        <row r="9">
          <cell r="A9">
            <v>526</v>
          </cell>
          <cell r="B9">
            <v>667</v>
          </cell>
          <cell r="C9" t="str">
            <v>Ceredigion</v>
          </cell>
        </row>
        <row r="10">
          <cell r="A10">
            <v>528</v>
          </cell>
          <cell r="B10">
            <v>668</v>
          </cell>
          <cell r="C10" t="str">
            <v>Pembrokeshire</v>
          </cell>
        </row>
        <row r="11">
          <cell r="A11">
            <v>530</v>
          </cell>
          <cell r="B11">
            <v>669</v>
          </cell>
          <cell r="C11" t="str">
            <v>Carmarthenshire</v>
          </cell>
        </row>
        <row r="12">
          <cell r="A12">
            <v>532</v>
          </cell>
          <cell r="B12">
            <v>670</v>
          </cell>
          <cell r="C12" t="str">
            <v>Swansea</v>
          </cell>
        </row>
        <row r="13">
          <cell r="A13">
            <v>534</v>
          </cell>
          <cell r="B13">
            <v>671</v>
          </cell>
          <cell r="C13" t="str">
            <v>Neath Port Talbot</v>
          </cell>
        </row>
        <row r="14">
          <cell r="A14">
            <v>536</v>
          </cell>
          <cell r="B14">
            <v>672</v>
          </cell>
          <cell r="C14" t="str">
            <v>Bridgend</v>
          </cell>
        </row>
        <row r="15">
          <cell r="A15">
            <v>538</v>
          </cell>
          <cell r="B15">
            <v>673</v>
          </cell>
          <cell r="C15" t="str">
            <v>Vale of Glamorgan</v>
          </cell>
        </row>
        <row r="16">
          <cell r="A16">
            <v>540</v>
          </cell>
          <cell r="B16">
            <v>674</v>
          </cell>
          <cell r="C16" t="str">
            <v>Rhondda Cynon Taf</v>
          </cell>
        </row>
        <row r="17">
          <cell r="A17">
            <v>542</v>
          </cell>
          <cell r="B17">
            <v>675</v>
          </cell>
          <cell r="C17" t="str">
            <v>Merthyr Tydfil</v>
          </cell>
        </row>
        <row r="18">
          <cell r="A18">
            <v>544</v>
          </cell>
          <cell r="B18">
            <v>676</v>
          </cell>
          <cell r="C18" t="str">
            <v>Caerphilly</v>
          </cell>
        </row>
        <row r="19">
          <cell r="A19">
            <v>545</v>
          </cell>
          <cell r="B19">
            <v>677</v>
          </cell>
          <cell r="C19" t="str">
            <v>Blaenau Gwent</v>
          </cell>
        </row>
        <row r="20">
          <cell r="A20">
            <v>546</v>
          </cell>
          <cell r="B20">
            <v>678</v>
          </cell>
          <cell r="C20" t="str">
            <v>Torfaen</v>
          </cell>
        </row>
        <row r="21">
          <cell r="A21">
            <v>548</v>
          </cell>
          <cell r="B21">
            <v>679</v>
          </cell>
          <cell r="C21" t="str">
            <v>Monmouthshire</v>
          </cell>
        </row>
        <row r="22">
          <cell r="A22">
            <v>550</v>
          </cell>
          <cell r="B22">
            <v>680</v>
          </cell>
          <cell r="C22" t="str">
            <v>Newport</v>
          </cell>
        </row>
        <row r="23">
          <cell r="A23">
            <v>552</v>
          </cell>
          <cell r="B23">
            <v>681</v>
          </cell>
          <cell r="C23" t="str">
            <v>Cardiff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Primary"/>
      <sheetName val="Secondary"/>
      <sheetName val="Special"/>
      <sheetName val="Part 2"/>
      <sheetName val="Caldicot Comp"/>
      <sheetName val="Chepstow Comp"/>
      <sheetName val="King Henry Comp"/>
      <sheetName val="Monmouth Comp "/>
      <sheetName val="ARW"/>
      <sheetName val="Green Lane"/>
      <sheetName val="Castle Park"/>
      <sheetName val="West End Infants"/>
      <sheetName val="Cantref Primary "/>
      <sheetName val="Cross Ash Primary"/>
      <sheetName val="Deri View"/>
      <sheetName val="Durand"/>
      <sheetName val="Gilwern "/>
      <sheetName val="Govilon"/>
      <sheetName val="Goytre Fawr"/>
      <sheetName val="Kymin View"/>
      <sheetName val="Llandogo"/>
      <sheetName val="Llanfair Kilgeddin"/>
      <sheetName val="Llanfoist Fawr"/>
      <sheetName val="Llanover"/>
      <sheetName val="Llantilio Pertholey"/>
      <sheetName val="LLanvihangel Crucorney"/>
      <sheetName val="Magor"/>
      <sheetName val="Osbaston"/>
      <sheetName val="OLSM"/>
      <sheetName val="Overmonnow"/>
      <sheetName val="Pembroke"/>
      <sheetName val="Raglan"/>
      <sheetName val="Rogiet"/>
      <sheetName val="Shirenewton"/>
      <sheetName val="St Mary's Chepstow"/>
      <sheetName val="The Dell"/>
      <sheetName val="Thornwell"/>
      <sheetName val="Trellech"/>
      <sheetName val="Undy"/>
      <sheetName val="Usk"/>
      <sheetName val="Y-Fenni"/>
      <sheetName val="Y-Ffin"/>
      <sheetName val="Mounton House"/>
    </sheetNames>
    <sheetDataSet>
      <sheetData sheetId="0">
        <row r="11">
          <cell r="C11" t="str">
            <v>Monmouthshire County Council</v>
          </cell>
        </row>
        <row r="17">
          <cell r="J17">
            <v>679</v>
          </cell>
          <cell r="K17">
            <v>548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Primary"/>
      <sheetName val="Secondary"/>
      <sheetName val="Special"/>
      <sheetName val="Part 2"/>
      <sheetName val="Caldicot Comp"/>
      <sheetName val="Chepstow Comp"/>
      <sheetName val="King Henry Comp"/>
      <sheetName val="Monmouth Comp "/>
      <sheetName val="ARW"/>
      <sheetName val="Green Lane"/>
      <sheetName val="Castle Park"/>
      <sheetName val="West End Infants"/>
      <sheetName val="Cantref Primary "/>
      <sheetName val="Cross Ash Primary"/>
      <sheetName val="Deri View"/>
      <sheetName val="Durand"/>
      <sheetName val="Gilwern "/>
      <sheetName val="Govilon"/>
      <sheetName val="Goytre Fawr"/>
      <sheetName val="Kymin View"/>
      <sheetName val="Llandogo"/>
      <sheetName val="Llanfair Kilgeddin"/>
      <sheetName val="Llanfoist Fawr"/>
      <sheetName val="Llanover"/>
      <sheetName val="Llantilio Pertholey"/>
      <sheetName val="LLanvihangel Crucorney"/>
      <sheetName val="Magor"/>
      <sheetName val="Osbaston"/>
      <sheetName val="OLSM"/>
      <sheetName val="Overmonnow"/>
      <sheetName val="Pembroke"/>
      <sheetName val="Raglan"/>
      <sheetName val="Rogiet"/>
      <sheetName val="Shirenewton"/>
      <sheetName val="St Mary's Chepstow"/>
      <sheetName val="The Dell"/>
      <sheetName val="Thornwell"/>
      <sheetName val="Trellech"/>
      <sheetName val="Undy"/>
      <sheetName val="Usk"/>
      <sheetName val="Y-Fenni"/>
      <sheetName val="Y-Ffin"/>
      <sheetName val="Mounton Hou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Nursery"/>
      <sheetName val="Primary"/>
      <sheetName val="Middle"/>
      <sheetName val="Secondary"/>
      <sheetName val="Special"/>
      <sheetName val="Guidance"/>
      <sheetName val="Comments"/>
      <sheetName val="Survey Response Burden"/>
      <sheetName val="Transfer"/>
      <sheetName val="Details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G2" t="str">
            <v>2022-23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J929"/>
  <sheetViews>
    <sheetView topLeftCell="A250" workbookViewId="0">
      <selection activeCell="I514" sqref="I514:I521"/>
    </sheetView>
  </sheetViews>
  <sheetFormatPr defaultColWidth="9.140625" defaultRowHeight="12.75" x14ac:dyDescent="0.2"/>
  <cols>
    <col min="1" max="1" width="55.140625" style="41" customWidth="1"/>
    <col min="2" max="2" width="14" style="41" customWidth="1"/>
    <col min="3" max="3" width="12.85546875" style="41" customWidth="1"/>
    <col min="4" max="4" width="11.85546875" style="41" customWidth="1"/>
    <col min="5" max="5" width="12.85546875" style="41" customWidth="1"/>
    <col min="6" max="6" width="11.42578125" style="41" customWidth="1"/>
    <col min="7" max="7" width="11.28515625" style="41" customWidth="1"/>
    <col min="8" max="8" width="11.140625" style="41" customWidth="1"/>
    <col min="9" max="9" width="12.28515625" style="41" customWidth="1"/>
    <col min="10" max="16384" width="9.140625" style="41"/>
  </cols>
  <sheetData>
    <row r="1" spans="1:10" ht="13.5" thickBot="1" x14ac:dyDescent="0.25">
      <c r="A1" s="54" t="s">
        <v>646</v>
      </c>
    </row>
    <row r="2" spans="1:10" ht="13.5" customHeight="1" thickBot="1" x14ac:dyDescent="0.35">
      <c r="A2" s="52"/>
    </row>
    <row r="3" spans="1:10" ht="14.25" customHeight="1" thickBot="1" x14ac:dyDescent="0.25">
      <c r="A3" s="54" t="s">
        <v>59</v>
      </c>
      <c r="B3" s="55"/>
      <c r="C3" s="55"/>
      <c r="D3" s="139" t="e">
        <f>(#REF!-#REF!)/12*7</f>
        <v>#REF!</v>
      </c>
      <c r="E3" s="139" t="e">
        <f>#REF!-#REF!</f>
        <v>#REF!</v>
      </c>
      <c r="F3" s="139" t="e">
        <f>(#REF!-#REF!)/12*5+(#REF!-#REF!)/12*7</f>
        <v>#REF!</v>
      </c>
      <c r="G3" s="139" t="e">
        <f>#REF!-#REF!</f>
        <v>#REF!</v>
      </c>
      <c r="H3" s="139" t="e">
        <f>(#REF!-#REF!)/12*5+(#REF!-#REF!)/12*7</f>
        <v>#REF!</v>
      </c>
      <c r="I3" s="139" t="e">
        <f>#REF!-#REF!</f>
        <v>#REF!</v>
      </c>
    </row>
    <row r="4" spans="1:10" x14ac:dyDescent="0.2">
      <c r="A4" s="53"/>
      <c r="B4" s="53"/>
    </row>
    <row r="5" spans="1:10" ht="13.5" customHeight="1" thickBot="1" x14ac:dyDescent="0.25">
      <c r="A5" s="42"/>
    </row>
    <row r="6" spans="1:10" ht="13.5" customHeight="1" thickBot="1" x14ac:dyDescent="0.25">
      <c r="A6" s="54" t="s">
        <v>13</v>
      </c>
      <c r="B6" s="155"/>
      <c r="C6" s="156"/>
      <c r="D6" s="155"/>
      <c r="E6" s="156"/>
      <c r="F6" s="155"/>
      <c r="G6" s="157" t="s">
        <v>56</v>
      </c>
      <c r="H6" s="158"/>
      <c r="I6" s="159">
        <f>SUM(D103:I103)</f>
        <v>0</v>
      </c>
      <c r="J6" s="84" t="s">
        <v>702</v>
      </c>
    </row>
    <row r="7" spans="1:10" ht="14.25" customHeight="1" x14ac:dyDescent="0.2">
      <c r="A7" s="156"/>
      <c r="B7" s="160"/>
      <c r="C7" s="156"/>
      <c r="D7" s="156"/>
      <c r="E7" s="156"/>
      <c r="F7" s="155"/>
      <c r="G7" s="155"/>
      <c r="H7" s="155"/>
      <c r="I7" s="155"/>
    </row>
    <row r="8" spans="1:10" s="46" customFormat="1" ht="38.25" customHeight="1" x14ac:dyDescent="0.2">
      <c r="A8" s="161" t="s">
        <v>82</v>
      </c>
      <c r="B8" s="161" t="s">
        <v>83</v>
      </c>
      <c r="C8" s="161" t="s">
        <v>84</v>
      </c>
      <c r="D8" s="162" t="s">
        <v>85</v>
      </c>
      <c r="E8" s="162" t="s">
        <v>978</v>
      </c>
      <c r="F8" s="163" t="s">
        <v>86</v>
      </c>
      <c r="G8" s="162" t="s">
        <v>87</v>
      </c>
      <c r="H8" s="162" t="s">
        <v>88</v>
      </c>
      <c r="I8" s="162" t="s">
        <v>89</v>
      </c>
    </row>
    <row r="9" spans="1:10" x14ac:dyDescent="0.2">
      <c r="A9" s="164" t="s">
        <v>90</v>
      </c>
      <c r="B9" s="165" t="s">
        <v>91</v>
      </c>
      <c r="C9" s="166">
        <v>1</v>
      </c>
      <c r="D9" s="167"/>
      <c r="E9" s="168"/>
      <c r="F9" s="169"/>
      <c r="G9" s="168"/>
      <c r="H9" s="168"/>
      <c r="I9" s="92"/>
    </row>
    <row r="10" spans="1:10" x14ac:dyDescent="0.2">
      <c r="A10" s="97" t="s">
        <v>979</v>
      </c>
      <c r="B10" s="98" t="s">
        <v>92</v>
      </c>
      <c r="C10" s="99">
        <v>1</v>
      </c>
      <c r="D10" s="167"/>
      <c r="E10" s="168"/>
      <c r="F10" s="169"/>
      <c r="G10" s="168"/>
      <c r="H10" s="168"/>
      <c r="I10" s="170"/>
    </row>
    <row r="11" spans="1:10" x14ac:dyDescent="0.2">
      <c r="A11" s="164" t="s">
        <v>93</v>
      </c>
      <c r="B11" s="165" t="s">
        <v>94</v>
      </c>
      <c r="C11" s="166">
        <v>1</v>
      </c>
      <c r="D11" s="167"/>
      <c r="E11" s="168"/>
      <c r="F11" s="168"/>
      <c r="G11" s="170"/>
      <c r="H11" s="170"/>
      <c r="I11" s="92"/>
    </row>
    <row r="12" spans="1:10" x14ac:dyDescent="0.2">
      <c r="A12" s="164" t="s">
        <v>97</v>
      </c>
      <c r="B12" s="165" t="s">
        <v>98</v>
      </c>
      <c r="C12" s="166">
        <v>1</v>
      </c>
      <c r="D12" s="167"/>
      <c r="E12" s="168"/>
      <c r="F12" s="168"/>
      <c r="G12" s="170"/>
      <c r="H12" s="170"/>
      <c r="I12" s="92"/>
    </row>
    <row r="13" spans="1:10" x14ac:dyDescent="0.2">
      <c r="A13" s="97" t="s">
        <v>980</v>
      </c>
      <c r="B13" s="98" t="s">
        <v>981</v>
      </c>
      <c r="C13" s="99">
        <v>1</v>
      </c>
      <c r="D13" s="92"/>
      <c r="E13" s="113"/>
      <c r="F13" s="113"/>
      <c r="G13" s="94"/>
      <c r="H13" s="94"/>
      <c r="I13" s="94"/>
    </row>
    <row r="14" spans="1:10" x14ac:dyDescent="0.2">
      <c r="A14" s="164" t="s">
        <v>95</v>
      </c>
      <c r="B14" s="165" t="s">
        <v>96</v>
      </c>
      <c r="C14" s="166">
        <v>1</v>
      </c>
      <c r="D14" s="167"/>
      <c r="E14" s="170"/>
      <c r="F14" s="168"/>
      <c r="G14" s="170"/>
      <c r="H14" s="171"/>
      <c r="I14" s="92"/>
    </row>
    <row r="15" spans="1:10" x14ac:dyDescent="0.2">
      <c r="A15" s="164" t="s">
        <v>99</v>
      </c>
      <c r="B15" s="165" t="s">
        <v>100</v>
      </c>
      <c r="C15" s="166">
        <v>1</v>
      </c>
      <c r="D15" s="167"/>
      <c r="E15" s="168"/>
      <c r="F15" s="168"/>
      <c r="G15" s="170"/>
      <c r="H15" s="168"/>
      <c r="I15" s="92"/>
    </row>
    <row r="16" spans="1:10" x14ac:dyDescent="0.2">
      <c r="A16" s="164" t="s">
        <v>850</v>
      </c>
      <c r="B16" s="165" t="s">
        <v>161</v>
      </c>
      <c r="C16" s="166">
        <v>1</v>
      </c>
      <c r="D16" s="167"/>
      <c r="E16" s="167"/>
      <c r="F16" s="168"/>
      <c r="G16" s="170"/>
      <c r="H16" s="170"/>
      <c r="I16" s="92"/>
    </row>
    <row r="17" spans="1:9" x14ac:dyDescent="0.2">
      <c r="A17" s="164" t="s">
        <v>684</v>
      </c>
      <c r="B17" s="165" t="s">
        <v>685</v>
      </c>
      <c r="C17" s="166">
        <v>1</v>
      </c>
      <c r="D17" s="167"/>
      <c r="E17" s="167"/>
      <c r="F17" s="167"/>
      <c r="G17" s="92"/>
      <c r="H17" s="168"/>
      <c r="I17" s="170"/>
    </row>
    <row r="18" spans="1:9" x14ac:dyDescent="0.2">
      <c r="A18" s="172" t="s">
        <v>982</v>
      </c>
      <c r="B18" s="98" t="s">
        <v>843</v>
      </c>
      <c r="C18" s="99">
        <v>1</v>
      </c>
      <c r="D18" s="92"/>
      <c r="E18" s="92"/>
      <c r="F18" s="92"/>
      <c r="G18" s="94"/>
      <c r="H18" s="113"/>
      <c r="I18" s="94"/>
    </row>
    <row r="19" spans="1:9" x14ac:dyDescent="0.2">
      <c r="A19" s="164" t="s">
        <v>101</v>
      </c>
      <c r="B19" s="165" t="s">
        <v>102</v>
      </c>
      <c r="C19" s="166">
        <v>0.6</v>
      </c>
      <c r="D19" s="167"/>
      <c r="E19" s="168"/>
      <c r="F19" s="173"/>
      <c r="G19" s="170"/>
      <c r="H19" s="170"/>
      <c r="I19" s="92"/>
    </row>
    <row r="20" spans="1:9" x14ac:dyDescent="0.2">
      <c r="A20" s="164" t="s">
        <v>103</v>
      </c>
      <c r="B20" s="165" t="s">
        <v>104</v>
      </c>
      <c r="C20" s="166">
        <v>1</v>
      </c>
      <c r="D20" s="167"/>
      <c r="E20" s="168"/>
      <c r="F20" s="170"/>
      <c r="G20" s="168"/>
      <c r="H20" s="168"/>
      <c r="I20" s="92"/>
    </row>
    <row r="21" spans="1:9" x14ac:dyDescent="0.2">
      <c r="A21" s="164" t="s">
        <v>106</v>
      </c>
      <c r="B21" s="165" t="s">
        <v>107</v>
      </c>
      <c r="C21" s="166">
        <v>1</v>
      </c>
      <c r="D21" s="167"/>
      <c r="E21" s="170"/>
      <c r="F21" s="168"/>
      <c r="G21" s="168"/>
      <c r="H21" s="168"/>
      <c r="I21" s="92"/>
    </row>
    <row r="22" spans="1:9" x14ac:dyDescent="0.2">
      <c r="A22" s="164" t="s">
        <v>108</v>
      </c>
      <c r="B22" s="165" t="s">
        <v>109</v>
      </c>
      <c r="C22" s="166">
        <v>1</v>
      </c>
      <c r="D22" s="167"/>
      <c r="E22" s="168"/>
      <c r="F22" s="168"/>
      <c r="G22" s="170"/>
      <c r="H22" s="170"/>
      <c r="I22" s="92"/>
    </row>
    <row r="23" spans="1:9" x14ac:dyDescent="0.2">
      <c r="A23" s="164" t="s">
        <v>110</v>
      </c>
      <c r="B23" s="165" t="s">
        <v>111</v>
      </c>
      <c r="C23" s="166">
        <v>1</v>
      </c>
      <c r="D23" s="167"/>
      <c r="E23" s="168"/>
      <c r="F23" s="168"/>
      <c r="G23" s="170"/>
      <c r="H23" s="170"/>
      <c r="I23" s="92"/>
    </row>
    <row r="24" spans="1:9" x14ac:dyDescent="0.2">
      <c r="A24" s="164" t="s">
        <v>112</v>
      </c>
      <c r="B24" s="165" t="s">
        <v>113</v>
      </c>
      <c r="C24" s="166">
        <v>1</v>
      </c>
      <c r="D24" s="167"/>
      <c r="E24" s="168"/>
      <c r="F24" s="168"/>
      <c r="G24" s="170"/>
      <c r="H24" s="170"/>
      <c r="I24" s="92"/>
    </row>
    <row r="25" spans="1:9" x14ac:dyDescent="0.2">
      <c r="A25" s="174" t="s">
        <v>116</v>
      </c>
      <c r="B25" s="146" t="s">
        <v>117</v>
      </c>
      <c r="C25" s="175">
        <v>1</v>
      </c>
      <c r="D25" s="176"/>
      <c r="E25" s="177"/>
      <c r="F25" s="177"/>
      <c r="G25" s="178"/>
      <c r="H25" s="178"/>
      <c r="I25" s="92"/>
    </row>
    <row r="26" spans="1:9" x14ac:dyDescent="0.2">
      <c r="A26" s="164" t="s">
        <v>114</v>
      </c>
      <c r="B26" s="165" t="s">
        <v>115</v>
      </c>
      <c r="C26" s="166">
        <v>1</v>
      </c>
      <c r="D26" s="167"/>
      <c r="E26" s="168"/>
      <c r="F26" s="168"/>
      <c r="G26" s="170"/>
      <c r="H26" s="168"/>
      <c r="I26" s="92"/>
    </row>
    <row r="27" spans="1:9" x14ac:dyDescent="0.2">
      <c r="A27" s="164" t="s">
        <v>686</v>
      </c>
      <c r="B27" s="165" t="s">
        <v>687</v>
      </c>
      <c r="C27" s="166">
        <v>0.6</v>
      </c>
      <c r="D27" s="167"/>
      <c r="E27" s="167"/>
      <c r="F27" s="167"/>
      <c r="G27" s="92"/>
      <c r="H27" s="168"/>
      <c r="I27" s="170"/>
    </row>
    <row r="28" spans="1:9" x14ac:dyDescent="0.2">
      <c r="A28" s="164" t="s">
        <v>844</v>
      </c>
      <c r="B28" s="165" t="s">
        <v>846</v>
      </c>
      <c r="C28" s="166">
        <v>0.48</v>
      </c>
      <c r="D28" s="167"/>
      <c r="E28" s="92"/>
      <c r="F28" s="167"/>
      <c r="G28" s="170"/>
      <c r="H28" s="168"/>
      <c r="I28" s="170"/>
    </row>
    <row r="29" spans="1:9" x14ac:dyDescent="0.2">
      <c r="A29" s="164" t="s">
        <v>845</v>
      </c>
      <c r="B29" s="165" t="s">
        <v>830</v>
      </c>
      <c r="C29" s="166">
        <v>1</v>
      </c>
      <c r="D29" s="167"/>
      <c r="E29" s="167"/>
      <c r="F29" s="92"/>
      <c r="G29" s="170"/>
      <c r="H29" s="168"/>
      <c r="I29" s="170"/>
    </row>
    <row r="30" spans="1:9" x14ac:dyDescent="0.2">
      <c r="A30" s="164" t="s">
        <v>118</v>
      </c>
      <c r="B30" s="165" t="s">
        <v>119</v>
      </c>
      <c r="C30" s="166">
        <v>1</v>
      </c>
      <c r="D30" s="167"/>
      <c r="E30" s="168"/>
      <c r="F30" s="168"/>
      <c r="G30" s="168"/>
      <c r="H30" s="168"/>
      <c r="I30" s="92"/>
    </row>
    <row r="31" spans="1:9" x14ac:dyDescent="0.2">
      <c r="A31" s="164" t="s">
        <v>847</v>
      </c>
      <c r="B31" s="165" t="s">
        <v>123</v>
      </c>
      <c r="C31" s="166">
        <v>0.8</v>
      </c>
      <c r="D31" s="167"/>
      <c r="E31" s="167"/>
      <c r="F31" s="179"/>
      <c r="G31" s="170"/>
      <c r="H31" s="167"/>
      <c r="I31" s="92"/>
    </row>
    <row r="32" spans="1:9" x14ac:dyDescent="0.2">
      <c r="A32" s="164" t="s">
        <v>688</v>
      </c>
      <c r="B32" s="165" t="s">
        <v>689</v>
      </c>
      <c r="C32" s="166">
        <v>1</v>
      </c>
      <c r="D32" s="167"/>
      <c r="E32" s="167"/>
      <c r="F32" s="92"/>
      <c r="G32" s="170"/>
      <c r="H32" s="170"/>
      <c r="I32" s="170"/>
    </row>
    <row r="33" spans="1:9" x14ac:dyDescent="0.2">
      <c r="A33" s="97" t="s">
        <v>848</v>
      </c>
      <c r="B33" s="98" t="s">
        <v>849</v>
      </c>
      <c r="C33" s="99">
        <v>0.4</v>
      </c>
      <c r="D33" s="92"/>
      <c r="E33" s="92"/>
      <c r="F33" s="132"/>
      <c r="G33" s="94"/>
      <c r="H33" s="94"/>
      <c r="I33" s="152"/>
    </row>
    <row r="34" spans="1:9" x14ac:dyDescent="0.2">
      <c r="A34" s="164" t="s">
        <v>983</v>
      </c>
      <c r="B34" s="165" t="s">
        <v>984</v>
      </c>
      <c r="C34" s="166">
        <v>1</v>
      </c>
      <c r="D34" s="92"/>
      <c r="E34" s="167"/>
      <c r="F34" s="173"/>
      <c r="G34" s="170"/>
      <c r="H34" s="170"/>
      <c r="I34" s="170"/>
    </row>
    <row r="35" spans="1:9" x14ac:dyDescent="0.2">
      <c r="A35" s="164" t="s">
        <v>120</v>
      </c>
      <c r="B35" s="165" t="s">
        <v>121</v>
      </c>
      <c r="C35" s="166">
        <v>1</v>
      </c>
      <c r="D35" s="167"/>
      <c r="E35" s="168"/>
      <c r="F35" s="169"/>
      <c r="G35" s="168"/>
      <c r="H35" s="168"/>
      <c r="I35" s="92"/>
    </row>
    <row r="36" spans="1:9" x14ac:dyDescent="0.2">
      <c r="A36" s="164" t="s">
        <v>690</v>
      </c>
      <c r="B36" s="165" t="s">
        <v>691</v>
      </c>
      <c r="C36" s="166">
        <v>1</v>
      </c>
      <c r="D36" s="167"/>
      <c r="E36" s="167"/>
      <c r="F36" s="167"/>
      <c r="G36" s="92"/>
      <c r="H36" s="168"/>
      <c r="I36" s="170"/>
    </row>
    <row r="37" spans="1:9" x14ac:dyDescent="0.2">
      <c r="A37" s="164" t="s">
        <v>851</v>
      </c>
      <c r="B37" s="165" t="s">
        <v>105</v>
      </c>
      <c r="C37" s="166">
        <v>0.9</v>
      </c>
      <c r="D37" s="167"/>
      <c r="E37" s="167"/>
      <c r="F37" s="169"/>
      <c r="G37" s="168"/>
      <c r="H37" s="168"/>
      <c r="I37" s="92"/>
    </row>
    <row r="38" spans="1:9" x14ac:dyDescent="0.2">
      <c r="A38" s="164" t="s">
        <v>852</v>
      </c>
      <c r="B38" s="165" t="s">
        <v>122</v>
      </c>
      <c r="C38" s="166">
        <v>1</v>
      </c>
      <c r="D38" s="167"/>
      <c r="E38" s="168"/>
      <c r="F38" s="169"/>
      <c r="G38" s="170"/>
      <c r="H38" s="168"/>
      <c r="I38" s="92"/>
    </row>
    <row r="39" spans="1:9" x14ac:dyDescent="0.2">
      <c r="A39" s="97" t="s">
        <v>985</v>
      </c>
      <c r="B39" s="98" t="s">
        <v>123</v>
      </c>
      <c r="C39" s="99">
        <v>1</v>
      </c>
      <c r="D39" s="167"/>
      <c r="E39" s="168"/>
      <c r="F39" s="169"/>
      <c r="G39" s="170"/>
      <c r="H39" s="168"/>
      <c r="I39" s="170"/>
    </row>
    <row r="40" spans="1:9" x14ac:dyDescent="0.2">
      <c r="A40" s="97" t="s">
        <v>124</v>
      </c>
      <c r="B40" s="98" t="s">
        <v>125</v>
      </c>
      <c r="C40" s="99">
        <v>1</v>
      </c>
      <c r="D40" s="167"/>
      <c r="E40" s="168"/>
      <c r="F40" s="169"/>
      <c r="G40" s="170"/>
      <c r="H40" s="168"/>
      <c r="I40" s="170"/>
    </row>
    <row r="41" spans="1:9" x14ac:dyDescent="0.2">
      <c r="A41" s="164" t="s">
        <v>986</v>
      </c>
      <c r="B41" s="165" t="s">
        <v>987</v>
      </c>
      <c r="C41" s="166">
        <v>1</v>
      </c>
      <c r="D41" s="92"/>
      <c r="E41" s="168"/>
      <c r="F41" s="169"/>
      <c r="G41" s="170"/>
      <c r="H41" s="168"/>
      <c r="I41" s="170"/>
    </row>
    <row r="42" spans="1:9" x14ac:dyDescent="0.2">
      <c r="A42" s="97" t="s">
        <v>126</v>
      </c>
      <c r="B42" s="98" t="s">
        <v>127</v>
      </c>
      <c r="C42" s="99">
        <v>1</v>
      </c>
      <c r="D42" s="167"/>
      <c r="E42" s="168"/>
      <c r="F42" s="169"/>
      <c r="G42" s="170"/>
      <c r="H42" s="168"/>
      <c r="I42" s="170"/>
    </row>
    <row r="43" spans="1:9" x14ac:dyDescent="0.2">
      <c r="A43" s="164" t="s">
        <v>692</v>
      </c>
      <c r="B43" s="165" t="s">
        <v>693</v>
      </c>
      <c r="C43" s="166">
        <v>1</v>
      </c>
      <c r="D43" s="167"/>
      <c r="E43" s="167"/>
      <c r="F43" s="167"/>
      <c r="G43" s="92"/>
      <c r="H43" s="168"/>
      <c r="I43" s="170"/>
    </row>
    <row r="44" spans="1:9" x14ac:dyDescent="0.2">
      <c r="A44" s="164" t="s">
        <v>824</v>
      </c>
      <c r="B44" s="165" t="s">
        <v>831</v>
      </c>
      <c r="C44" s="166">
        <v>1</v>
      </c>
      <c r="D44" s="167"/>
      <c r="E44" s="167"/>
      <c r="F44" s="92"/>
      <c r="G44" s="170"/>
      <c r="H44" s="170"/>
      <c r="I44" s="170"/>
    </row>
    <row r="45" spans="1:9" x14ac:dyDescent="0.2">
      <c r="A45" s="97" t="s">
        <v>988</v>
      </c>
      <c r="B45" s="98" t="s">
        <v>128</v>
      </c>
      <c r="C45" s="99">
        <v>1</v>
      </c>
      <c r="D45" s="167"/>
      <c r="E45" s="167"/>
      <c r="F45" s="180"/>
      <c r="G45" s="170"/>
      <c r="H45" s="170"/>
      <c r="I45" s="170"/>
    </row>
    <row r="46" spans="1:9" x14ac:dyDescent="0.2">
      <c r="A46" s="164" t="s">
        <v>853</v>
      </c>
      <c r="B46" s="165" t="s">
        <v>92</v>
      </c>
      <c r="C46" s="166">
        <v>1</v>
      </c>
      <c r="D46" s="167"/>
      <c r="E46" s="167"/>
      <c r="F46" s="173"/>
      <c r="G46" s="170"/>
      <c r="H46" s="167"/>
      <c r="I46" s="92"/>
    </row>
    <row r="47" spans="1:9" x14ac:dyDescent="0.2">
      <c r="A47" s="97" t="s">
        <v>989</v>
      </c>
      <c r="B47" s="98" t="s">
        <v>990</v>
      </c>
      <c r="C47" s="99">
        <v>1</v>
      </c>
      <c r="D47" s="167"/>
      <c r="E47" s="167"/>
      <c r="F47" s="173"/>
      <c r="G47" s="170"/>
      <c r="H47" s="167"/>
      <c r="I47" s="170"/>
    </row>
    <row r="48" spans="1:9" x14ac:dyDescent="0.2">
      <c r="A48" s="97" t="s">
        <v>129</v>
      </c>
      <c r="B48" s="98" t="s">
        <v>130</v>
      </c>
      <c r="C48" s="99">
        <v>1</v>
      </c>
      <c r="D48" s="167"/>
      <c r="E48" s="167"/>
      <c r="F48" s="173"/>
      <c r="G48" s="170"/>
      <c r="H48" s="167"/>
      <c r="I48" s="170"/>
    </row>
    <row r="49" spans="1:9" x14ac:dyDescent="0.2">
      <c r="A49" s="164" t="s">
        <v>131</v>
      </c>
      <c r="B49" s="165" t="s">
        <v>132</v>
      </c>
      <c r="C49" s="166">
        <v>1</v>
      </c>
      <c r="D49" s="167"/>
      <c r="E49" s="168"/>
      <c r="F49" s="168"/>
      <c r="G49" s="168"/>
      <c r="H49" s="170"/>
      <c r="I49" s="92"/>
    </row>
    <row r="50" spans="1:9" x14ac:dyDescent="0.2">
      <c r="A50" s="164" t="s">
        <v>133</v>
      </c>
      <c r="B50" s="165" t="s">
        <v>134</v>
      </c>
      <c r="C50" s="166">
        <v>0.6</v>
      </c>
      <c r="D50" s="167"/>
      <c r="E50" s="168"/>
      <c r="F50" s="169"/>
      <c r="G50" s="168"/>
      <c r="H50" s="168"/>
      <c r="I50" s="92"/>
    </row>
    <row r="51" spans="1:9" x14ac:dyDescent="0.2">
      <c r="A51" s="164" t="s">
        <v>825</v>
      </c>
      <c r="B51" s="165" t="s">
        <v>832</v>
      </c>
      <c r="C51" s="166">
        <v>1</v>
      </c>
      <c r="D51" s="167"/>
      <c r="E51" s="167"/>
      <c r="F51" s="92"/>
      <c r="G51" s="168"/>
      <c r="H51" s="168"/>
      <c r="I51" s="170"/>
    </row>
    <row r="52" spans="1:9" x14ac:dyDescent="0.2">
      <c r="A52" s="97" t="s">
        <v>991</v>
      </c>
      <c r="B52" s="98" t="s">
        <v>992</v>
      </c>
      <c r="C52" s="99">
        <v>1</v>
      </c>
      <c r="D52" s="167"/>
      <c r="E52" s="167"/>
      <c r="F52" s="169"/>
      <c r="G52" s="168"/>
      <c r="H52" s="168"/>
      <c r="I52" s="170"/>
    </row>
    <row r="53" spans="1:9" x14ac:dyDescent="0.2">
      <c r="A53" s="164" t="s">
        <v>854</v>
      </c>
      <c r="B53" s="165" t="s">
        <v>696</v>
      </c>
      <c r="C53" s="166">
        <v>1</v>
      </c>
      <c r="D53" s="167"/>
      <c r="E53" s="168"/>
      <c r="F53" s="167"/>
      <c r="G53" s="92"/>
      <c r="H53" s="170"/>
      <c r="I53" s="170"/>
    </row>
    <row r="54" spans="1:9" x14ac:dyDescent="0.2">
      <c r="A54" s="164" t="s">
        <v>135</v>
      </c>
      <c r="B54" s="165" t="s">
        <v>136</v>
      </c>
      <c r="C54" s="166">
        <v>1</v>
      </c>
      <c r="D54" s="167"/>
      <c r="E54" s="168"/>
      <c r="F54" s="167"/>
      <c r="G54" s="170"/>
      <c r="H54" s="170"/>
      <c r="I54" s="92"/>
    </row>
    <row r="55" spans="1:9" x14ac:dyDescent="0.2">
      <c r="A55" s="97" t="s">
        <v>993</v>
      </c>
      <c r="B55" s="98" t="s">
        <v>994</v>
      </c>
      <c r="C55" s="99">
        <v>0.3</v>
      </c>
      <c r="D55" s="168"/>
      <c r="E55" s="168"/>
      <c r="F55" s="168"/>
      <c r="G55" s="170"/>
      <c r="H55" s="170"/>
      <c r="I55" s="170"/>
    </row>
    <row r="56" spans="1:9" x14ac:dyDescent="0.2">
      <c r="A56" s="97" t="s">
        <v>995</v>
      </c>
      <c r="B56" s="98" t="s">
        <v>996</v>
      </c>
      <c r="C56" s="99">
        <v>0.5</v>
      </c>
      <c r="D56" s="168"/>
      <c r="E56" s="168"/>
      <c r="F56" s="168"/>
      <c r="G56" s="170"/>
      <c r="H56" s="170"/>
      <c r="I56" s="170"/>
    </row>
    <row r="57" spans="1:9" x14ac:dyDescent="0.2">
      <c r="A57" s="164" t="s">
        <v>826</v>
      </c>
      <c r="B57" s="181" t="s">
        <v>833</v>
      </c>
      <c r="C57" s="166">
        <v>1</v>
      </c>
      <c r="D57" s="168"/>
      <c r="E57" s="168"/>
      <c r="F57" s="92"/>
      <c r="G57" s="170"/>
      <c r="H57" s="170"/>
      <c r="I57" s="170"/>
    </row>
    <row r="58" spans="1:9" x14ac:dyDescent="0.2">
      <c r="A58" s="97" t="s">
        <v>997</v>
      </c>
      <c r="B58" s="98" t="s">
        <v>998</v>
      </c>
      <c r="C58" s="99">
        <v>1</v>
      </c>
      <c r="D58" s="168"/>
      <c r="E58" s="168"/>
      <c r="F58" s="168"/>
      <c r="G58" s="170"/>
      <c r="H58" s="170"/>
      <c r="I58" s="170"/>
    </row>
    <row r="59" spans="1:9" x14ac:dyDescent="0.2">
      <c r="A59" s="164" t="s">
        <v>855</v>
      </c>
      <c r="B59" s="165" t="s">
        <v>160</v>
      </c>
      <c r="C59" s="166">
        <v>1</v>
      </c>
      <c r="D59" s="167"/>
      <c r="E59" s="168"/>
      <c r="F59" s="167"/>
      <c r="G59" s="170"/>
      <c r="H59" s="168"/>
      <c r="I59" s="92"/>
    </row>
    <row r="60" spans="1:9" x14ac:dyDescent="0.2">
      <c r="A60" s="97" t="s">
        <v>137</v>
      </c>
      <c r="B60" s="98" t="s">
        <v>138</v>
      </c>
      <c r="C60" s="99">
        <v>1</v>
      </c>
      <c r="D60" s="167"/>
      <c r="E60" s="168"/>
      <c r="F60" s="167"/>
      <c r="G60" s="170"/>
      <c r="H60" s="168"/>
      <c r="I60" s="170"/>
    </row>
    <row r="61" spans="1:9" x14ac:dyDescent="0.2">
      <c r="A61" s="97" t="s">
        <v>999</v>
      </c>
      <c r="B61" s="98" t="s">
        <v>1000</v>
      </c>
      <c r="C61" s="99">
        <v>1</v>
      </c>
      <c r="D61" s="167"/>
      <c r="E61" s="168"/>
      <c r="F61" s="167"/>
      <c r="G61" s="170"/>
      <c r="H61" s="168"/>
      <c r="I61" s="170"/>
    </row>
    <row r="62" spans="1:9" x14ac:dyDescent="0.2">
      <c r="A62" s="164" t="s">
        <v>827</v>
      </c>
      <c r="B62" s="181" t="s">
        <v>834</v>
      </c>
      <c r="C62" s="166">
        <v>1</v>
      </c>
      <c r="D62" s="168"/>
      <c r="E62" s="168"/>
      <c r="F62" s="92"/>
      <c r="G62" s="170"/>
      <c r="H62" s="170"/>
      <c r="I62" s="170"/>
    </row>
    <row r="63" spans="1:9" x14ac:dyDescent="0.2">
      <c r="A63" s="164" t="s">
        <v>1001</v>
      </c>
      <c r="B63" s="181" t="s">
        <v>1002</v>
      </c>
      <c r="C63" s="166">
        <v>0.6</v>
      </c>
      <c r="D63" s="92"/>
      <c r="E63" s="168"/>
      <c r="F63" s="173"/>
      <c r="G63" s="170"/>
      <c r="H63" s="170"/>
      <c r="I63" s="170"/>
    </row>
    <row r="64" spans="1:9" x14ac:dyDescent="0.2">
      <c r="A64" s="164" t="s">
        <v>856</v>
      </c>
      <c r="B64" s="181" t="s">
        <v>698</v>
      </c>
      <c r="C64" s="166">
        <v>1</v>
      </c>
      <c r="D64" s="168"/>
      <c r="E64" s="168"/>
      <c r="F64" s="173"/>
      <c r="G64" s="168"/>
      <c r="H64" s="92"/>
      <c r="I64" s="170"/>
    </row>
    <row r="65" spans="1:10" x14ac:dyDescent="0.2">
      <c r="A65" s="164" t="s">
        <v>694</v>
      </c>
      <c r="B65" s="165" t="s">
        <v>695</v>
      </c>
      <c r="C65" s="166">
        <v>1</v>
      </c>
      <c r="D65" s="164"/>
      <c r="E65" s="168"/>
      <c r="F65" s="173"/>
      <c r="G65" s="168"/>
      <c r="H65" s="168"/>
      <c r="I65" s="92"/>
    </row>
    <row r="66" spans="1:10" x14ac:dyDescent="0.2">
      <c r="A66" s="164" t="s">
        <v>1003</v>
      </c>
      <c r="B66" s="165" t="s">
        <v>1004</v>
      </c>
      <c r="C66" s="166">
        <v>1</v>
      </c>
      <c r="D66" s="164"/>
      <c r="E66" s="92"/>
      <c r="F66" s="173"/>
      <c r="G66" s="168"/>
      <c r="H66" s="168"/>
      <c r="I66" s="182"/>
    </row>
    <row r="67" spans="1:10" x14ac:dyDescent="0.2">
      <c r="A67" s="97" t="s">
        <v>1005</v>
      </c>
      <c r="B67" s="98" t="s">
        <v>696</v>
      </c>
      <c r="C67" s="99">
        <v>1</v>
      </c>
      <c r="D67" s="164"/>
      <c r="E67" s="168"/>
      <c r="F67" s="173"/>
      <c r="G67" s="168"/>
      <c r="H67" s="168"/>
      <c r="I67" s="182"/>
    </row>
    <row r="68" spans="1:10" x14ac:dyDescent="0.2">
      <c r="A68" s="164" t="s">
        <v>857</v>
      </c>
      <c r="B68" s="165" t="s">
        <v>697</v>
      </c>
      <c r="C68" s="166">
        <v>1</v>
      </c>
      <c r="D68" s="164"/>
      <c r="E68" s="168"/>
      <c r="F68" s="167"/>
      <c r="G68" s="92"/>
      <c r="H68" s="168"/>
      <c r="I68" s="170"/>
    </row>
    <row r="69" spans="1:10" x14ac:dyDescent="0.2">
      <c r="A69" s="164" t="s">
        <v>699</v>
      </c>
      <c r="B69" s="165" t="s">
        <v>700</v>
      </c>
      <c r="C69" s="166">
        <v>1</v>
      </c>
      <c r="D69" s="183"/>
      <c r="E69" s="92"/>
      <c r="F69" s="173"/>
      <c r="G69" s="170"/>
      <c r="H69" s="168"/>
      <c r="I69" s="170"/>
    </row>
    <row r="70" spans="1:10" x14ac:dyDescent="0.2">
      <c r="A70" s="164" t="s">
        <v>139</v>
      </c>
      <c r="B70" s="165" t="s">
        <v>140</v>
      </c>
      <c r="C70" s="166">
        <v>1</v>
      </c>
      <c r="D70" s="167"/>
      <c r="E70" s="168"/>
      <c r="F70" s="170"/>
      <c r="G70" s="168"/>
      <c r="H70" s="168"/>
      <c r="I70" s="92"/>
    </row>
    <row r="71" spans="1:10" x14ac:dyDescent="0.2">
      <c r="A71" s="97" t="s">
        <v>1006</v>
      </c>
      <c r="B71" s="98" t="s">
        <v>698</v>
      </c>
      <c r="C71" s="99">
        <v>1</v>
      </c>
      <c r="D71" s="167"/>
      <c r="E71" s="168"/>
      <c r="F71" s="170"/>
      <c r="G71" s="168"/>
      <c r="H71" s="168"/>
      <c r="I71" s="170"/>
    </row>
    <row r="72" spans="1:10" x14ac:dyDescent="0.2">
      <c r="A72" s="97" t="s">
        <v>1007</v>
      </c>
      <c r="B72" s="98" t="s">
        <v>141</v>
      </c>
      <c r="C72" s="99">
        <v>1</v>
      </c>
      <c r="D72" s="167"/>
      <c r="E72" s="168"/>
      <c r="F72" s="170"/>
      <c r="G72" s="168"/>
      <c r="H72" s="168"/>
      <c r="I72" s="170"/>
    </row>
    <row r="73" spans="1:10" x14ac:dyDescent="0.2">
      <c r="A73" s="164" t="s">
        <v>142</v>
      </c>
      <c r="B73" s="165" t="s">
        <v>143</v>
      </c>
      <c r="C73" s="166">
        <v>1</v>
      </c>
      <c r="D73" s="167"/>
      <c r="E73" s="168"/>
      <c r="F73" s="168"/>
      <c r="G73" s="170"/>
      <c r="H73" s="170"/>
      <c r="I73" s="92"/>
    </row>
    <row r="74" spans="1:10" x14ac:dyDescent="0.2">
      <c r="A74" s="97" t="s">
        <v>1008</v>
      </c>
      <c r="B74" s="98" t="s">
        <v>1009</v>
      </c>
      <c r="C74" s="99">
        <v>1</v>
      </c>
      <c r="D74" s="167"/>
      <c r="E74" s="168"/>
      <c r="F74" s="173"/>
      <c r="G74" s="170"/>
      <c r="H74" s="170"/>
      <c r="I74" s="170"/>
    </row>
    <row r="75" spans="1:10" x14ac:dyDescent="0.2">
      <c r="A75" s="164" t="s">
        <v>144</v>
      </c>
      <c r="B75" s="165" t="s">
        <v>145</v>
      </c>
      <c r="C75" s="166">
        <v>1</v>
      </c>
      <c r="D75" s="167"/>
      <c r="E75" s="168"/>
      <c r="F75" s="173"/>
      <c r="G75" s="170"/>
      <c r="H75" s="170"/>
      <c r="I75" s="92"/>
    </row>
    <row r="76" spans="1:10" x14ac:dyDescent="0.2">
      <c r="A76" s="164" t="s">
        <v>146</v>
      </c>
      <c r="B76" s="165" t="s">
        <v>147</v>
      </c>
      <c r="C76" s="166">
        <v>1</v>
      </c>
      <c r="D76" s="167"/>
      <c r="E76" s="168"/>
      <c r="F76" s="168"/>
      <c r="G76" s="170"/>
      <c r="H76" s="168"/>
      <c r="I76" s="92"/>
    </row>
    <row r="77" spans="1:10" x14ac:dyDescent="0.2">
      <c r="A77" s="97" t="s">
        <v>148</v>
      </c>
      <c r="B77" s="98" t="s">
        <v>149</v>
      </c>
      <c r="C77" s="99">
        <v>1</v>
      </c>
      <c r="D77" s="167"/>
      <c r="E77" s="168"/>
      <c r="F77" s="173"/>
      <c r="G77" s="170"/>
      <c r="H77" s="168"/>
      <c r="I77" s="170"/>
    </row>
    <row r="78" spans="1:10" x14ac:dyDescent="0.2">
      <c r="A78" s="164" t="s">
        <v>828</v>
      </c>
      <c r="B78" s="181" t="s">
        <v>835</v>
      </c>
      <c r="C78" s="166">
        <v>1</v>
      </c>
      <c r="D78" s="168"/>
      <c r="E78" s="182"/>
      <c r="F78" s="92"/>
      <c r="G78" s="170"/>
      <c r="H78" s="170"/>
      <c r="I78" s="170"/>
    </row>
    <row r="79" spans="1:10" x14ac:dyDescent="0.2">
      <c r="A79" s="164" t="s">
        <v>858</v>
      </c>
      <c r="B79" s="181" t="s">
        <v>128</v>
      </c>
      <c r="C79" s="166">
        <v>1</v>
      </c>
      <c r="D79" s="168"/>
      <c r="E79" s="92"/>
      <c r="F79" s="173"/>
      <c r="G79" s="170"/>
      <c r="H79" s="170"/>
      <c r="I79" s="170"/>
    </row>
    <row r="80" spans="1:10" x14ac:dyDescent="0.2">
      <c r="A80" s="164" t="s">
        <v>150</v>
      </c>
      <c r="B80" s="165" t="s">
        <v>151</v>
      </c>
      <c r="C80" s="166">
        <v>1</v>
      </c>
      <c r="D80" s="167"/>
      <c r="E80" s="183"/>
      <c r="F80" s="169"/>
      <c r="G80" s="168"/>
      <c r="H80" s="168"/>
      <c r="I80" s="92"/>
      <c r="J80" s="84" t="s">
        <v>702</v>
      </c>
    </row>
    <row r="81" spans="1:10" ht="9.75" customHeight="1" x14ac:dyDescent="0.2">
      <c r="A81" s="164" t="s">
        <v>859</v>
      </c>
      <c r="B81" s="181" t="s">
        <v>128</v>
      </c>
      <c r="C81" s="166">
        <v>1</v>
      </c>
      <c r="D81" s="168"/>
      <c r="E81" s="182"/>
      <c r="F81" s="173"/>
      <c r="G81" s="170"/>
      <c r="H81" s="170"/>
      <c r="I81" s="92"/>
    </row>
    <row r="82" spans="1:10" s="46" customFormat="1" ht="30" customHeight="1" x14ac:dyDescent="0.2">
      <c r="A82" s="97" t="s">
        <v>699</v>
      </c>
      <c r="B82" s="98" t="s">
        <v>700</v>
      </c>
      <c r="C82" s="99">
        <v>1</v>
      </c>
      <c r="D82" s="152"/>
      <c r="E82" s="152"/>
      <c r="F82" s="132"/>
      <c r="G82" s="94"/>
      <c r="H82" s="113"/>
      <c r="I82" s="94"/>
    </row>
    <row r="83" spans="1:10" s="46" customFormat="1" ht="14.25" customHeight="1" x14ac:dyDescent="0.2">
      <c r="A83" s="164" t="s">
        <v>152</v>
      </c>
      <c r="B83" s="165" t="s">
        <v>153</v>
      </c>
      <c r="C83" s="166">
        <v>1</v>
      </c>
      <c r="D83" s="167"/>
      <c r="E83" s="182"/>
      <c r="F83" s="168"/>
      <c r="G83" s="170"/>
      <c r="H83" s="170"/>
      <c r="I83" s="92"/>
    </row>
    <row r="84" spans="1:10" s="46" customFormat="1" ht="14.25" customHeight="1" x14ac:dyDescent="0.2">
      <c r="A84" s="97" t="s">
        <v>1010</v>
      </c>
      <c r="B84" s="98" t="s">
        <v>1011</v>
      </c>
      <c r="C84" s="99">
        <v>0.6</v>
      </c>
      <c r="D84" s="167"/>
      <c r="E84" s="182"/>
      <c r="F84" s="168"/>
      <c r="G84" s="170"/>
      <c r="H84" s="170"/>
      <c r="I84" s="170"/>
    </row>
    <row r="85" spans="1:10" x14ac:dyDescent="0.2">
      <c r="A85" s="97" t="s">
        <v>154</v>
      </c>
      <c r="B85" s="98" t="s">
        <v>155</v>
      </c>
      <c r="C85" s="99">
        <v>1</v>
      </c>
      <c r="D85" s="167"/>
      <c r="E85" s="182"/>
      <c r="F85" s="168"/>
      <c r="G85" s="170"/>
      <c r="H85" s="170"/>
      <c r="I85" s="170"/>
    </row>
    <row r="86" spans="1:10" x14ac:dyDescent="0.2">
      <c r="A86" s="97" t="s">
        <v>1012</v>
      </c>
      <c r="B86" s="98" t="s">
        <v>160</v>
      </c>
      <c r="C86" s="99">
        <v>1</v>
      </c>
      <c r="D86" s="167"/>
      <c r="E86" s="182"/>
      <c r="F86" s="168"/>
      <c r="G86" s="170"/>
      <c r="H86" s="170"/>
      <c r="I86" s="170"/>
    </row>
    <row r="87" spans="1:10" x14ac:dyDescent="0.2">
      <c r="A87" s="164" t="s">
        <v>156</v>
      </c>
      <c r="B87" s="165" t="s">
        <v>157</v>
      </c>
      <c r="C87" s="166">
        <v>1</v>
      </c>
      <c r="D87" s="167"/>
      <c r="E87" s="182"/>
      <c r="F87" s="168"/>
      <c r="G87" s="170"/>
      <c r="H87" s="168"/>
      <c r="I87" s="92"/>
    </row>
    <row r="88" spans="1:10" x14ac:dyDescent="0.2">
      <c r="A88" s="164" t="s">
        <v>158</v>
      </c>
      <c r="B88" s="165" t="s">
        <v>159</v>
      </c>
      <c r="C88" s="166">
        <v>0.8</v>
      </c>
      <c r="D88" s="167"/>
      <c r="E88" s="182"/>
      <c r="F88" s="168"/>
      <c r="G88" s="170"/>
      <c r="H88" s="168"/>
      <c r="I88" s="92"/>
      <c r="J88" s="84" t="s">
        <v>702</v>
      </c>
    </row>
    <row r="89" spans="1:10" x14ac:dyDescent="0.2">
      <c r="A89" s="97" t="s">
        <v>1013</v>
      </c>
      <c r="B89" s="98" t="s">
        <v>1014</v>
      </c>
      <c r="C89" s="99">
        <v>0.42</v>
      </c>
      <c r="D89" s="167"/>
      <c r="E89" s="182"/>
      <c r="F89" s="168"/>
      <c r="G89" s="170"/>
      <c r="H89" s="168"/>
      <c r="I89" s="170"/>
    </row>
    <row r="90" spans="1:10" ht="29.25" customHeight="1" x14ac:dyDescent="0.2">
      <c r="A90" s="97" t="s">
        <v>1015</v>
      </c>
      <c r="B90" s="98" t="s">
        <v>1016</v>
      </c>
      <c r="C90" s="99">
        <v>1</v>
      </c>
      <c r="D90" s="167"/>
      <c r="E90" s="182"/>
      <c r="F90" s="168"/>
      <c r="G90" s="170"/>
      <c r="H90" s="168"/>
      <c r="I90" s="170"/>
    </row>
    <row r="91" spans="1:10" ht="11.25" customHeight="1" x14ac:dyDescent="0.2">
      <c r="A91" s="164" t="s">
        <v>860</v>
      </c>
      <c r="B91" s="165" t="s">
        <v>141</v>
      </c>
      <c r="C91" s="166">
        <v>1</v>
      </c>
      <c r="D91" s="167"/>
      <c r="E91" s="182"/>
      <c r="F91" s="168"/>
      <c r="G91" s="168"/>
      <c r="H91" s="168"/>
      <c r="I91" s="92"/>
      <c r="J91" s="51"/>
    </row>
    <row r="92" spans="1:10" ht="11.25" customHeight="1" x14ac:dyDescent="0.2">
      <c r="A92" s="97" t="s">
        <v>1017</v>
      </c>
      <c r="B92" s="98" t="s">
        <v>1018</v>
      </c>
      <c r="C92" s="99">
        <v>1</v>
      </c>
      <c r="D92" s="167"/>
      <c r="E92" s="182"/>
      <c r="F92" s="168"/>
      <c r="G92" s="168"/>
      <c r="H92" s="168"/>
      <c r="I92" s="182"/>
      <c r="J92" s="51"/>
    </row>
    <row r="93" spans="1:10" ht="11.25" customHeight="1" x14ac:dyDescent="0.2">
      <c r="A93" s="164" t="s">
        <v>162</v>
      </c>
      <c r="B93" s="165" t="s">
        <v>163</v>
      </c>
      <c r="C93" s="166">
        <v>1</v>
      </c>
      <c r="D93" s="167"/>
      <c r="E93" s="182"/>
      <c r="F93" s="168"/>
      <c r="G93" s="170"/>
      <c r="H93" s="170"/>
      <c r="I93" s="92"/>
      <c r="J93" s="51"/>
    </row>
    <row r="94" spans="1:10" ht="11.25" customHeight="1" x14ac:dyDescent="0.2">
      <c r="A94" s="164" t="s">
        <v>829</v>
      </c>
      <c r="B94" s="181" t="s">
        <v>836</v>
      </c>
      <c r="C94" s="166">
        <v>1</v>
      </c>
      <c r="D94" s="168"/>
      <c r="E94" s="182"/>
      <c r="F94" s="92"/>
      <c r="G94" s="170"/>
      <c r="H94" s="170"/>
      <c r="I94" s="170"/>
      <c r="J94" s="51"/>
    </row>
    <row r="95" spans="1:10" ht="11.25" customHeight="1" x14ac:dyDescent="0.2">
      <c r="A95" s="116" t="s">
        <v>1019</v>
      </c>
      <c r="B95" s="110" t="s">
        <v>166</v>
      </c>
      <c r="C95" s="86">
        <v>1</v>
      </c>
      <c r="D95" s="168"/>
      <c r="E95" s="182"/>
      <c r="F95" s="168"/>
      <c r="G95" s="170"/>
      <c r="H95" s="170"/>
      <c r="I95" s="170"/>
      <c r="J95" s="143"/>
    </row>
    <row r="96" spans="1:10" x14ac:dyDescent="0.2">
      <c r="A96" s="164" t="s">
        <v>164</v>
      </c>
      <c r="B96" s="165" t="s">
        <v>165</v>
      </c>
      <c r="C96" s="166">
        <v>1</v>
      </c>
      <c r="D96" s="167"/>
      <c r="E96" s="182"/>
      <c r="F96" s="168"/>
      <c r="G96" s="170"/>
      <c r="H96" s="170"/>
      <c r="I96" s="92"/>
      <c r="J96" s="84"/>
    </row>
    <row r="97" spans="1:10" x14ac:dyDescent="0.2">
      <c r="A97" s="164" t="s">
        <v>861</v>
      </c>
      <c r="B97" s="181" t="s">
        <v>167</v>
      </c>
      <c r="C97" s="166">
        <v>1</v>
      </c>
      <c r="D97" s="168"/>
      <c r="E97" s="182"/>
      <c r="F97" s="168"/>
      <c r="G97" s="183"/>
      <c r="H97" s="183"/>
      <c r="I97" s="92"/>
      <c r="J97" s="84"/>
    </row>
    <row r="98" spans="1:10" x14ac:dyDescent="0.2">
      <c r="A98" s="164" t="s">
        <v>862</v>
      </c>
      <c r="B98" s="181" t="s">
        <v>168</v>
      </c>
      <c r="C98" s="166">
        <v>0.6</v>
      </c>
      <c r="D98" s="168"/>
      <c r="E98" s="182"/>
      <c r="F98" s="168"/>
      <c r="G98" s="182"/>
      <c r="H98" s="92"/>
      <c r="I98" s="183"/>
      <c r="J98" s="84"/>
    </row>
    <row r="99" spans="1:10" x14ac:dyDescent="0.2">
      <c r="A99" s="97" t="s">
        <v>1020</v>
      </c>
      <c r="B99" s="98" t="s">
        <v>1021</v>
      </c>
      <c r="C99" s="99">
        <v>1</v>
      </c>
      <c r="D99" s="168"/>
      <c r="E99" s="182"/>
      <c r="F99" s="168"/>
      <c r="G99" s="182"/>
      <c r="H99" s="183"/>
      <c r="I99" s="183"/>
    </row>
    <row r="100" spans="1:10" x14ac:dyDescent="0.2">
      <c r="A100" s="164" t="s">
        <v>863</v>
      </c>
      <c r="B100" s="181" t="s">
        <v>171</v>
      </c>
      <c r="C100" s="166">
        <v>1</v>
      </c>
      <c r="D100" s="168"/>
      <c r="E100" s="182"/>
      <c r="F100" s="168"/>
      <c r="G100" s="183"/>
      <c r="H100" s="183"/>
      <c r="I100" s="92"/>
    </row>
    <row r="101" spans="1:10" x14ac:dyDescent="0.2">
      <c r="A101" s="164" t="s">
        <v>169</v>
      </c>
      <c r="B101" s="181" t="s">
        <v>170</v>
      </c>
      <c r="C101" s="166">
        <v>0.8</v>
      </c>
      <c r="D101" s="168"/>
      <c r="E101" s="182"/>
      <c r="F101" s="168"/>
      <c r="G101" s="183"/>
      <c r="H101" s="183"/>
      <c r="I101" s="92"/>
      <c r="J101" s="84" t="s">
        <v>702</v>
      </c>
    </row>
    <row r="102" spans="1:10" x14ac:dyDescent="0.2">
      <c r="A102" s="164" t="s">
        <v>864</v>
      </c>
      <c r="B102" s="181" t="s">
        <v>701</v>
      </c>
      <c r="C102" s="166">
        <v>1</v>
      </c>
      <c r="D102" s="168"/>
      <c r="E102" s="168"/>
      <c r="F102" s="168"/>
      <c r="G102" s="183"/>
      <c r="H102" s="182"/>
      <c r="I102" s="92"/>
    </row>
    <row r="103" spans="1:10" ht="25.5" customHeight="1" thickBot="1" x14ac:dyDescent="0.25">
      <c r="A103" s="184" t="s">
        <v>56</v>
      </c>
      <c r="B103" s="185"/>
      <c r="C103" s="186"/>
      <c r="D103" s="187">
        <f t="shared" ref="D103:I103" si="0">SUM(D9:D102)</f>
        <v>0</v>
      </c>
      <c r="E103" s="187">
        <f t="shared" si="0"/>
        <v>0</v>
      </c>
      <c r="F103" s="187">
        <f t="shared" si="0"/>
        <v>0</v>
      </c>
      <c r="G103" s="187">
        <f t="shared" si="0"/>
        <v>0</v>
      </c>
      <c r="H103" s="187">
        <f t="shared" si="0"/>
        <v>0</v>
      </c>
      <c r="I103" s="187">
        <f t="shared" si="0"/>
        <v>0</v>
      </c>
    </row>
    <row r="104" spans="1:10" ht="13.5" thickBot="1" x14ac:dyDescent="0.25">
      <c r="A104" s="84"/>
      <c r="B104" s="84"/>
      <c r="C104" s="84"/>
      <c r="D104" s="84"/>
      <c r="E104" s="84"/>
      <c r="F104" s="84"/>
      <c r="G104" s="84"/>
      <c r="H104" s="84"/>
      <c r="I104" s="84"/>
    </row>
    <row r="105" spans="1:10" ht="13.5" thickBot="1" x14ac:dyDescent="0.25">
      <c r="A105" s="54" t="s">
        <v>18</v>
      </c>
      <c r="B105" s="84"/>
      <c r="C105" s="48"/>
      <c r="D105" s="48"/>
      <c r="E105" s="47" t="s">
        <v>703</v>
      </c>
      <c r="F105" s="84"/>
      <c r="G105" s="63" t="s">
        <v>56</v>
      </c>
      <c r="H105" s="64"/>
      <c r="I105" s="65">
        <f>SUM(D111:I111)/12*5</f>
        <v>0</v>
      </c>
    </row>
    <row r="106" spans="1:10" x14ac:dyDescent="0.2">
      <c r="A106" s="84"/>
      <c r="B106" s="133"/>
      <c r="C106" s="134"/>
      <c r="D106" s="134"/>
      <c r="E106" s="135"/>
      <c r="F106" s="84"/>
      <c r="G106" s="84"/>
      <c r="H106" s="84"/>
      <c r="I106" s="84"/>
    </row>
    <row r="107" spans="1:10" ht="25.5" x14ac:dyDescent="0.2">
      <c r="A107" s="56" t="s">
        <v>82</v>
      </c>
      <c r="B107" s="56" t="s">
        <v>83</v>
      </c>
      <c r="C107" s="56" t="s">
        <v>172</v>
      </c>
      <c r="D107" s="57" t="s">
        <v>173</v>
      </c>
      <c r="E107" s="57" t="s">
        <v>1022</v>
      </c>
      <c r="F107" s="58" t="s">
        <v>86</v>
      </c>
      <c r="G107" s="57" t="s">
        <v>87</v>
      </c>
      <c r="H107" s="57" t="s">
        <v>88</v>
      </c>
      <c r="I107" s="57" t="s">
        <v>89</v>
      </c>
    </row>
    <row r="108" spans="1:10" x14ac:dyDescent="0.2">
      <c r="A108" s="188"/>
      <c r="B108" s="189"/>
      <c r="C108" s="190"/>
      <c r="D108" s="191"/>
      <c r="E108" s="191"/>
      <c r="F108" s="191"/>
      <c r="G108" s="191"/>
      <c r="H108" s="191"/>
      <c r="I108" s="94"/>
    </row>
    <row r="109" spans="1:10" x14ac:dyDescent="0.2">
      <c r="A109" s="97"/>
      <c r="B109" s="98"/>
      <c r="C109" s="103"/>
      <c r="D109" s="191"/>
      <c r="E109" s="191"/>
      <c r="F109" s="191"/>
      <c r="G109" s="191"/>
      <c r="H109" s="113"/>
      <c r="I109" s="94"/>
    </row>
    <row r="110" spans="1:10" ht="13.5" thickBot="1" x14ac:dyDescent="0.25">
      <c r="A110" s="97"/>
      <c r="B110" s="98"/>
      <c r="C110" s="103"/>
      <c r="D110" s="191"/>
      <c r="E110" s="191"/>
      <c r="F110" s="87"/>
      <c r="G110" s="87"/>
      <c r="H110" s="191"/>
      <c r="I110" s="191"/>
      <c r="J110" s="84" t="s">
        <v>702</v>
      </c>
    </row>
    <row r="111" spans="1:10" ht="13.5" thickBot="1" x14ac:dyDescent="0.25">
      <c r="A111" s="59" t="s">
        <v>56</v>
      </c>
      <c r="B111" s="60"/>
      <c r="C111" s="61"/>
      <c r="D111" s="66">
        <f t="shared" ref="D111:I111" si="1">SUM(D108:D110)</f>
        <v>0</v>
      </c>
      <c r="E111" s="66">
        <f t="shared" si="1"/>
        <v>0</v>
      </c>
      <c r="F111" s="66">
        <f t="shared" si="1"/>
        <v>0</v>
      </c>
      <c r="G111" s="66">
        <f t="shared" si="1"/>
        <v>0</v>
      </c>
      <c r="H111" s="66">
        <f t="shared" si="1"/>
        <v>0</v>
      </c>
      <c r="I111" s="66">
        <f t="shared" si="1"/>
        <v>0</v>
      </c>
    </row>
    <row r="112" spans="1:10" ht="13.5" thickBot="1" x14ac:dyDescent="0.25">
      <c r="A112" s="84"/>
      <c r="B112" s="84"/>
      <c r="C112" s="84"/>
      <c r="D112" s="84"/>
      <c r="E112" s="84"/>
      <c r="F112" s="84"/>
      <c r="G112" s="84"/>
      <c r="H112" s="84"/>
      <c r="I112" s="84"/>
    </row>
    <row r="113" spans="1:10" ht="13.5" thickBot="1" x14ac:dyDescent="0.25">
      <c r="A113" s="54" t="s">
        <v>19</v>
      </c>
      <c r="B113" s="84"/>
      <c r="C113" s="48"/>
      <c r="D113" s="48"/>
      <c r="E113" s="47"/>
      <c r="F113" s="84"/>
      <c r="G113" s="63" t="s">
        <v>56</v>
      </c>
      <c r="H113" s="64"/>
      <c r="I113" s="65">
        <f>SUM(D127:I127)</f>
        <v>0</v>
      </c>
    </row>
    <row r="114" spans="1:10" x14ac:dyDescent="0.2">
      <c r="A114" s="84"/>
      <c r="B114" s="133"/>
      <c r="C114" s="134"/>
      <c r="D114" s="134"/>
      <c r="E114" s="135"/>
      <c r="F114" s="84"/>
      <c r="G114" s="84"/>
      <c r="H114" s="84"/>
      <c r="I114" s="84"/>
    </row>
    <row r="115" spans="1:10" ht="25.5" x14ac:dyDescent="0.2">
      <c r="A115" s="67" t="s">
        <v>82</v>
      </c>
      <c r="B115" s="67" t="s">
        <v>83</v>
      </c>
      <c r="C115" s="192" t="s">
        <v>172</v>
      </c>
      <c r="D115" s="193" t="s">
        <v>173</v>
      </c>
      <c r="E115" s="193" t="s">
        <v>1022</v>
      </c>
      <c r="F115" s="58" t="s">
        <v>86</v>
      </c>
      <c r="G115" s="193" t="s">
        <v>87</v>
      </c>
      <c r="H115" s="193" t="s">
        <v>88</v>
      </c>
      <c r="I115" s="193" t="s">
        <v>89</v>
      </c>
    </row>
    <row r="116" spans="1:10" x14ac:dyDescent="0.2">
      <c r="A116" s="97" t="s">
        <v>1023</v>
      </c>
      <c r="B116" s="98" t="s">
        <v>1024</v>
      </c>
      <c r="C116" s="99">
        <v>1</v>
      </c>
      <c r="D116" s="97"/>
      <c r="E116" s="97"/>
      <c r="F116" s="97"/>
      <c r="G116" s="97"/>
      <c r="H116" s="97"/>
      <c r="I116" s="97"/>
    </row>
    <row r="117" spans="1:10" x14ac:dyDescent="0.2">
      <c r="A117" s="97" t="s">
        <v>176</v>
      </c>
      <c r="B117" s="98" t="s">
        <v>177</v>
      </c>
      <c r="C117" s="99">
        <v>0.50770000000000004</v>
      </c>
      <c r="D117" s="99"/>
      <c r="E117" s="113"/>
      <c r="F117" s="113"/>
      <c r="G117" s="94"/>
      <c r="H117" s="92"/>
      <c r="I117" s="92"/>
    </row>
    <row r="118" spans="1:10" x14ac:dyDescent="0.2">
      <c r="A118" s="97" t="s">
        <v>178</v>
      </c>
      <c r="B118" s="98" t="s">
        <v>179</v>
      </c>
      <c r="C118" s="99">
        <v>1</v>
      </c>
      <c r="D118" s="99"/>
      <c r="E118" s="113"/>
      <c r="F118" s="113"/>
      <c r="G118" s="94"/>
      <c r="H118" s="94"/>
      <c r="I118" s="92"/>
    </row>
    <row r="119" spans="1:10" x14ac:dyDescent="0.2">
      <c r="A119" s="97" t="s">
        <v>180</v>
      </c>
      <c r="B119" s="98" t="s">
        <v>181</v>
      </c>
      <c r="C119" s="99">
        <v>1</v>
      </c>
      <c r="D119" s="99"/>
      <c r="E119" s="113"/>
      <c r="F119" s="113"/>
      <c r="G119" s="94"/>
      <c r="H119" s="94"/>
      <c r="I119" s="92"/>
    </row>
    <row r="120" spans="1:10" x14ac:dyDescent="0.2">
      <c r="A120" s="194" t="s">
        <v>653</v>
      </c>
      <c r="B120" s="195" t="s">
        <v>655</v>
      </c>
      <c r="C120" s="196">
        <v>1</v>
      </c>
      <c r="D120" s="196"/>
      <c r="E120" s="197"/>
      <c r="F120" s="198"/>
      <c r="G120" s="199"/>
      <c r="H120" s="197"/>
      <c r="I120" s="200"/>
      <c r="J120" s="142" t="s">
        <v>702</v>
      </c>
    </row>
    <row r="121" spans="1:10" x14ac:dyDescent="0.2">
      <c r="A121" s="97" t="s">
        <v>1025</v>
      </c>
      <c r="B121" s="98" t="s">
        <v>656</v>
      </c>
      <c r="C121" s="99">
        <v>0.6</v>
      </c>
      <c r="D121" s="97"/>
      <c r="E121" s="94"/>
      <c r="F121" s="94"/>
      <c r="G121" s="94"/>
      <c r="H121" s="94"/>
      <c r="I121" s="94"/>
    </row>
    <row r="122" spans="1:10" ht="24.75" customHeight="1" x14ac:dyDescent="0.2">
      <c r="A122" s="97" t="s">
        <v>654</v>
      </c>
      <c r="B122" s="98" t="s">
        <v>657</v>
      </c>
      <c r="C122" s="99">
        <v>1</v>
      </c>
      <c r="D122" s="99"/>
      <c r="E122" s="92"/>
      <c r="F122" s="113"/>
      <c r="G122" s="92"/>
      <c r="H122" s="92"/>
      <c r="I122" s="94"/>
    </row>
    <row r="123" spans="1:10" ht="11.25" customHeight="1" x14ac:dyDescent="0.2">
      <c r="A123" s="97" t="s">
        <v>1026</v>
      </c>
      <c r="B123" s="98" t="s">
        <v>1027</v>
      </c>
      <c r="C123" s="99">
        <v>1</v>
      </c>
      <c r="D123" s="97"/>
      <c r="E123" s="94"/>
      <c r="F123" s="94"/>
      <c r="G123" s="94"/>
      <c r="H123" s="94"/>
      <c r="I123" s="94"/>
    </row>
    <row r="124" spans="1:10" ht="11.25" customHeight="1" x14ac:dyDescent="0.2">
      <c r="A124" s="97" t="s">
        <v>865</v>
      </c>
      <c r="B124" s="98" t="s">
        <v>867</v>
      </c>
      <c r="C124" s="99">
        <v>0.50770000000000004</v>
      </c>
      <c r="D124" s="99"/>
      <c r="E124" s="92"/>
      <c r="F124" s="92"/>
      <c r="G124" s="94"/>
      <c r="H124" s="94"/>
      <c r="I124" s="94"/>
    </row>
    <row r="125" spans="1:10" x14ac:dyDescent="0.2">
      <c r="A125" s="174" t="s">
        <v>866</v>
      </c>
      <c r="B125" s="146" t="s">
        <v>868</v>
      </c>
      <c r="C125" s="175">
        <v>1</v>
      </c>
      <c r="D125" s="175"/>
      <c r="E125" s="176"/>
      <c r="F125" s="177"/>
      <c r="G125" s="176"/>
      <c r="H125" s="176"/>
      <c r="I125" s="176"/>
    </row>
    <row r="126" spans="1:10" x14ac:dyDescent="0.2">
      <c r="A126" s="97" t="s">
        <v>822</v>
      </c>
      <c r="B126" s="98" t="s">
        <v>823</v>
      </c>
      <c r="C126" s="99">
        <v>0.6</v>
      </c>
      <c r="D126" s="99"/>
      <c r="E126" s="92"/>
      <c r="F126" s="92"/>
      <c r="G126" s="92"/>
      <c r="H126" s="94"/>
      <c r="I126" s="94"/>
    </row>
    <row r="127" spans="1:10" ht="13.5" thickBot="1" x14ac:dyDescent="0.25">
      <c r="A127" s="69" t="s">
        <v>56</v>
      </c>
      <c r="B127" s="70"/>
      <c r="C127" s="71"/>
      <c r="D127" s="153">
        <f>SUM(D116:D126)</f>
        <v>0</v>
      </c>
      <c r="E127" s="153">
        <f t="shared" ref="E127:I127" si="2">SUM(E116:E126)</f>
        <v>0</v>
      </c>
      <c r="F127" s="153">
        <f t="shared" si="2"/>
        <v>0</v>
      </c>
      <c r="G127" s="153">
        <f t="shared" si="2"/>
        <v>0</v>
      </c>
      <c r="H127" s="153">
        <f t="shared" si="2"/>
        <v>0</v>
      </c>
      <c r="I127" s="153">
        <f t="shared" si="2"/>
        <v>0</v>
      </c>
      <c r="J127" s="141"/>
    </row>
    <row r="128" spans="1:10" x14ac:dyDescent="0.2">
      <c r="A128" s="84"/>
      <c r="B128" s="84"/>
      <c r="C128" s="84"/>
      <c r="D128" s="84"/>
      <c r="E128" s="84"/>
      <c r="F128" s="84"/>
      <c r="G128" s="84"/>
      <c r="H128" s="84"/>
      <c r="I128" s="84"/>
    </row>
    <row r="129" spans="1:9" x14ac:dyDescent="0.2">
      <c r="A129" s="84"/>
      <c r="B129" s="84"/>
      <c r="C129" s="84"/>
      <c r="D129" s="84"/>
      <c r="E129" s="84"/>
      <c r="F129" s="84"/>
      <c r="G129" s="84"/>
      <c r="H129" s="84"/>
      <c r="I129" s="84"/>
    </row>
    <row r="130" spans="1:9" x14ac:dyDescent="0.2">
      <c r="A130" s="84"/>
      <c r="B130" s="84"/>
      <c r="C130" s="84"/>
      <c r="D130" s="84"/>
      <c r="E130" s="84"/>
      <c r="F130" s="84"/>
      <c r="G130" s="84"/>
      <c r="H130" s="84"/>
      <c r="I130" s="84"/>
    </row>
    <row r="131" spans="1:9" ht="13.5" thickBot="1" x14ac:dyDescent="0.25">
      <c r="A131" s="84"/>
      <c r="B131" s="84"/>
      <c r="C131" s="84"/>
      <c r="D131" s="84"/>
      <c r="E131" s="84"/>
      <c r="F131" s="84"/>
      <c r="G131" s="84"/>
      <c r="H131" s="84"/>
      <c r="I131" s="84"/>
    </row>
    <row r="132" spans="1:9" ht="13.5" thickBot="1" x14ac:dyDescent="0.25">
      <c r="A132" s="54" t="s">
        <v>20</v>
      </c>
      <c r="B132" s="84"/>
      <c r="C132" s="48"/>
      <c r="D132" s="48"/>
      <c r="E132" s="47" t="s">
        <v>703</v>
      </c>
      <c r="F132" s="84"/>
      <c r="G132" s="63" t="s">
        <v>56</v>
      </c>
      <c r="H132" s="64"/>
      <c r="I132" s="65">
        <f>SUM(D139:I139)/12*5</f>
        <v>0</v>
      </c>
    </row>
    <row r="133" spans="1:9" x14ac:dyDescent="0.2">
      <c r="A133" s="84"/>
      <c r="B133" s="133"/>
      <c r="C133" s="134"/>
      <c r="D133" s="134"/>
      <c r="E133" s="135"/>
      <c r="F133" s="84"/>
      <c r="G133" s="84"/>
      <c r="H133" s="84"/>
      <c r="I133" s="84"/>
    </row>
    <row r="134" spans="1:9" ht="25.5" x14ac:dyDescent="0.2">
      <c r="A134" s="67" t="s">
        <v>82</v>
      </c>
      <c r="B134" s="67" t="s">
        <v>83</v>
      </c>
      <c r="C134" s="67" t="s">
        <v>172</v>
      </c>
      <c r="D134" s="57" t="s">
        <v>173</v>
      </c>
      <c r="E134" s="57" t="s">
        <v>1022</v>
      </c>
      <c r="F134" s="58" t="s">
        <v>86</v>
      </c>
      <c r="G134" s="57" t="s">
        <v>87</v>
      </c>
      <c r="H134" s="57" t="s">
        <v>88</v>
      </c>
      <c r="I134" s="57" t="s">
        <v>89</v>
      </c>
    </row>
    <row r="135" spans="1:9" x14ac:dyDescent="0.2">
      <c r="A135" s="97"/>
      <c r="B135" s="98"/>
      <c r="C135" s="99"/>
      <c r="D135" s="92"/>
      <c r="E135" s="92"/>
      <c r="F135" s="87"/>
      <c r="G135" s="101"/>
      <c r="H135" s="101"/>
      <c r="I135" s="101"/>
    </row>
    <row r="136" spans="1:9" x14ac:dyDescent="0.2">
      <c r="A136" s="97"/>
      <c r="B136" s="98"/>
      <c r="C136" s="99"/>
      <c r="D136" s="87"/>
      <c r="E136" s="87"/>
      <c r="F136" s="87"/>
      <c r="G136" s="87"/>
      <c r="H136" s="101"/>
      <c r="I136" s="101"/>
    </row>
    <row r="137" spans="1:9" x14ac:dyDescent="0.2">
      <c r="A137" s="97"/>
      <c r="B137" s="98"/>
      <c r="C137" s="99"/>
      <c r="D137" s="87"/>
      <c r="E137" s="87"/>
      <c r="F137" s="87"/>
      <c r="G137" s="87"/>
      <c r="H137" s="101"/>
      <c r="I137" s="101"/>
    </row>
    <row r="138" spans="1:9" x14ac:dyDescent="0.2">
      <c r="A138" s="97"/>
      <c r="B138" s="98"/>
      <c r="C138" s="99"/>
      <c r="D138" s="87"/>
      <c r="E138" s="87"/>
      <c r="F138" s="87"/>
      <c r="G138" s="113"/>
      <c r="H138" s="87"/>
      <c r="I138" s="101"/>
    </row>
    <row r="139" spans="1:9" ht="13.5" thickBot="1" x14ac:dyDescent="0.25">
      <c r="A139" s="69" t="s">
        <v>56</v>
      </c>
      <c r="B139" s="70"/>
      <c r="C139" s="71"/>
      <c r="D139" s="72">
        <f t="shared" ref="D139:I139" si="3">SUM(D135:D138)</f>
        <v>0</v>
      </c>
      <c r="E139" s="72">
        <f t="shared" si="3"/>
        <v>0</v>
      </c>
      <c r="F139" s="72">
        <f t="shared" si="3"/>
        <v>0</v>
      </c>
      <c r="G139" s="72">
        <f t="shared" si="3"/>
        <v>0</v>
      </c>
      <c r="H139" s="72">
        <f t="shared" si="3"/>
        <v>0</v>
      </c>
      <c r="I139" s="72">
        <f t="shared" si="3"/>
        <v>0</v>
      </c>
    </row>
    <row r="140" spans="1:9" ht="13.5" thickBot="1" x14ac:dyDescent="0.25">
      <c r="A140" s="84"/>
      <c r="B140" s="84"/>
      <c r="C140" s="84"/>
      <c r="D140" s="84"/>
      <c r="E140" s="84"/>
      <c r="F140" s="84"/>
      <c r="G140" s="84"/>
      <c r="H140" s="84"/>
      <c r="I140" s="84"/>
    </row>
    <row r="141" spans="1:9" ht="13.5" thickBot="1" x14ac:dyDescent="0.25">
      <c r="A141" s="54" t="s">
        <v>683</v>
      </c>
      <c r="B141" s="84"/>
      <c r="C141" s="48"/>
      <c r="D141" s="48"/>
      <c r="E141" s="47"/>
      <c r="F141" s="84"/>
      <c r="G141" s="63" t="s">
        <v>56</v>
      </c>
      <c r="H141" s="64"/>
      <c r="I141" s="65">
        <f>SUM(D149:I149)</f>
        <v>0</v>
      </c>
    </row>
    <row r="142" spans="1:9" x14ac:dyDescent="0.2">
      <c r="A142" s="84"/>
      <c r="B142" s="133"/>
      <c r="C142" s="134"/>
      <c r="D142" s="134"/>
      <c r="E142" s="135"/>
      <c r="F142" s="84"/>
      <c r="G142" s="84"/>
      <c r="H142" s="84"/>
      <c r="I142" s="84"/>
    </row>
    <row r="143" spans="1:9" ht="25.5" x14ac:dyDescent="0.2">
      <c r="A143" s="67" t="s">
        <v>82</v>
      </c>
      <c r="B143" s="67" t="s">
        <v>83</v>
      </c>
      <c r="C143" s="67" t="s">
        <v>172</v>
      </c>
      <c r="D143" s="57" t="s">
        <v>173</v>
      </c>
      <c r="E143" s="57" t="s">
        <v>1022</v>
      </c>
      <c r="F143" s="58" t="s">
        <v>86</v>
      </c>
      <c r="G143" s="57" t="s">
        <v>87</v>
      </c>
      <c r="H143" s="57" t="s">
        <v>88</v>
      </c>
      <c r="I143" s="57" t="s">
        <v>89</v>
      </c>
    </row>
    <row r="144" spans="1:9" x14ac:dyDescent="0.2">
      <c r="A144" s="97" t="s">
        <v>182</v>
      </c>
      <c r="B144" s="98" t="s">
        <v>183</v>
      </c>
      <c r="C144" s="99">
        <v>0.55079999999999996</v>
      </c>
      <c r="D144" s="92"/>
      <c r="E144" s="92"/>
      <c r="F144" s="87"/>
      <c r="G144" s="101"/>
      <c r="H144" s="101"/>
      <c r="I144" s="101"/>
    </row>
    <row r="145" spans="1:9" x14ac:dyDescent="0.2">
      <c r="A145" s="97" t="s">
        <v>184</v>
      </c>
      <c r="B145" s="98" t="s">
        <v>185</v>
      </c>
      <c r="C145" s="99">
        <v>1</v>
      </c>
      <c r="D145" s="87"/>
      <c r="E145" s="87"/>
      <c r="F145" s="87"/>
      <c r="G145" s="92"/>
      <c r="H145" s="92"/>
      <c r="I145" s="101"/>
    </row>
    <row r="146" spans="1:9" x14ac:dyDescent="0.2">
      <c r="A146" s="97" t="s">
        <v>186</v>
      </c>
      <c r="B146" s="98" t="s">
        <v>187</v>
      </c>
      <c r="C146" s="99">
        <v>1</v>
      </c>
      <c r="D146" s="87"/>
      <c r="E146" s="87"/>
      <c r="F146" s="87"/>
      <c r="G146" s="92"/>
      <c r="H146" s="92"/>
      <c r="I146" s="101"/>
    </row>
    <row r="147" spans="1:9" x14ac:dyDescent="0.2">
      <c r="A147" s="97" t="s">
        <v>174</v>
      </c>
      <c r="B147" s="98" t="s">
        <v>175</v>
      </c>
      <c r="C147" s="103">
        <v>0.44919999999999999</v>
      </c>
      <c r="D147" s="191"/>
      <c r="E147" s="92"/>
      <c r="F147" s="92"/>
      <c r="G147" s="92"/>
      <c r="H147" s="191"/>
      <c r="I147" s="191"/>
    </row>
    <row r="148" spans="1:9" x14ac:dyDescent="0.2">
      <c r="A148" s="97" t="s">
        <v>188</v>
      </c>
      <c r="B148" s="98" t="s">
        <v>189</v>
      </c>
      <c r="C148" s="99">
        <v>0.91669999999999996</v>
      </c>
      <c r="D148" s="87"/>
      <c r="E148" s="87"/>
      <c r="F148" s="87"/>
      <c r="G148" s="113"/>
      <c r="H148" s="87"/>
      <c r="I148" s="92"/>
    </row>
    <row r="149" spans="1:9" ht="13.5" thickBot="1" x14ac:dyDescent="0.25">
      <c r="A149" s="69" t="s">
        <v>56</v>
      </c>
      <c r="B149" s="70"/>
      <c r="C149" s="71"/>
      <c r="D149" s="72">
        <f t="shared" ref="D149:I149" si="4">SUM(D144:D148)</f>
        <v>0</v>
      </c>
      <c r="E149" s="72">
        <f t="shared" si="4"/>
        <v>0</v>
      </c>
      <c r="F149" s="72">
        <f t="shared" si="4"/>
        <v>0</v>
      </c>
      <c r="G149" s="72">
        <f t="shared" si="4"/>
        <v>0</v>
      </c>
      <c r="H149" s="72">
        <f t="shared" si="4"/>
        <v>0</v>
      </c>
      <c r="I149" s="72">
        <f t="shared" si="4"/>
        <v>0</v>
      </c>
    </row>
    <row r="150" spans="1:9" ht="13.5" thickBot="1" x14ac:dyDescent="0.25">
      <c r="A150" s="84"/>
      <c r="B150" s="84"/>
      <c r="C150" s="84"/>
      <c r="D150" s="84"/>
      <c r="E150" s="84"/>
      <c r="F150" s="84"/>
      <c r="G150" s="84"/>
      <c r="H150" s="84"/>
      <c r="I150" s="84"/>
    </row>
    <row r="151" spans="1:9" ht="13.5" thickBot="1" x14ac:dyDescent="0.25">
      <c r="A151" s="54" t="s">
        <v>14</v>
      </c>
      <c r="B151" s="84"/>
      <c r="C151" s="48"/>
      <c r="D151" s="48"/>
      <c r="E151" s="47"/>
      <c r="F151" s="84"/>
      <c r="G151" s="63" t="s">
        <v>56</v>
      </c>
      <c r="H151" s="64"/>
      <c r="I151" s="65">
        <f>SUM(D210:I210)</f>
        <v>0</v>
      </c>
    </row>
    <row r="152" spans="1:9" x14ac:dyDescent="0.2">
      <c r="A152" s="84"/>
      <c r="B152" s="133"/>
      <c r="C152" s="134"/>
      <c r="D152" s="134"/>
      <c r="E152" s="135"/>
      <c r="F152" s="84"/>
      <c r="G152" s="84"/>
      <c r="H152" s="84"/>
      <c r="I152" s="84"/>
    </row>
    <row r="153" spans="1:9" ht="25.5" x14ac:dyDescent="0.2">
      <c r="A153" s="67" t="s">
        <v>82</v>
      </c>
      <c r="B153" s="67" t="s">
        <v>83</v>
      </c>
      <c r="C153" s="67" t="s">
        <v>172</v>
      </c>
      <c r="D153" s="57" t="s">
        <v>173</v>
      </c>
      <c r="E153" s="57" t="s">
        <v>978</v>
      </c>
      <c r="F153" s="58" t="s">
        <v>86</v>
      </c>
      <c r="G153" s="57" t="s">
        <v>87</v>
      </c>
      <c r="H153" s="57" t="s">
        <v>88</v>
      </c>
      <c r="I153" s="57" t="s">
        <v>89</v>
      </c>
    </row>
    <row r="154" spans="1:9" x14ac:dyDescent="0.2">
      <c r="A154" s="97" t="s">
        <v>190</v>
      </c>
      <c r="B154" s="98" t="s">
        <v>191</v>
      </c>
      <c r="C154" s="99">
        <v>1</v>
      </c>
      <c r="D154" s="99"/>
      <c r="E154" s="101"/>
      <c r="F154" s="104"/>
      <c r="G154" s="201"/>
      <c r="H154" s="201"/>
      <c r="I154" s="92"/>
    </row>
    <row r="155" spans="1:9" x14ac:dyDescent="0.2">
      <c r="A155" s="97" t="s">
        <v>192</v>
      </c>
      <c r="B155" s="98" t="s">
        <v>193</v>
      </c>
      <c r="C155" s="99">
        <v>1</v>
      </c>
      <c r="D155" s="99"/>
      <c r="E155" s="101"/>
      <c r="F155" s="104"/>
      <c r="G155" s="201"/>
      <c r="H155" s="94"/>
      <c r="I155" s="92"/>
    </row>
    <row r="156" spans="1:9" x14ac:dyDescent="0.2">
      <c r="A156" s="97" t="s">
        <v>194</v>
      </c>
      <c r="B156" s="98" t="s">
        <v>195</v>
      </c>
      <c r="C156" s="99">
        <v>1</v>
      </c>
      <c r="D156" s="99"/>
      <c r="E156" s="128"/>
      <c r="F156" s="132"/>
      <c r="G156" s="113"/>
      <c r="H156" s="113"/>
      <c r="I156" s="201"/>
    </row>
    <row r="157" spans="1:9" x14ac:dyDescent="0.2">
      <c r="A157" s="97" t="s">
        <v>1028</v>
      </c>
      <c r="B157" s="98" t="s">
        <v>1029</v>
      </c>
      <c r="C157" s="99">
        <v>1</v>
      </c>
      <c r="D157" s="97"/>
      <c r="E157" s="97"/>
      <c r="F157" s="97"/>
      <c r="G157" s="97"/>
      <c r="H157" s="97"/>
      <c r="I157" s="97"/>
    </row>
    <row r="158" spans="1:9" x14ac:dyDescent="0.2">
      <c r="A158" s="97" t="s">
        <v>1030</v>
      </c>
      <c r="B158" s="98" t="s">
        <v>1031</v>
      </c>
      <c r="C158" s="99">
        <v>1</v>
      </c>
      <c r="D158" s="97"/>
      <c r="E158" s="97"/>
      <c r="F158" s="97"/>
      <c r="G158" s="97"/>
      <c r="H158" s="97"/>
      <c r="I158" s="97"/>
    </row>
    <row r="159" spans="1:9" x14ac:dyDescent="0.2">
      <c r="A159" s="97" t="s">
        <v>196</v>
      </c>
      <c r="B159" s="98" t="s">
        <v>197</v>
      </c>
      <c r="C159" s="99">
        <v>1</v>
      </c>
      <c r="D159" s="99"/>
      <c r="E159" s="128"/>
      <c r="F159" s="128"/>
      <c r="G159" s="97"/>
      <c r="H159" s="97"/>
      <c r="I159" s="201"/>
    </row>
    <row r="160" spans="1:9" x14ac:dyDescent="0.2">
      <c r="A160" s="97" t="s">
        <v>198</v>
      </c>
      <c r="B160" s="98" t="s">
        <v>199</v>
      </c>
      <c r="C160" s="175">
        <v>1</v>
      </c>
      <c r="D160" s="99"/>
      <c r="E160" s="128"/>
      <c r="F160" s="128"/>
      <c r="G160" s="97"/>
      <c r="H160" s="97"/>
      <c r="I160" s="92"/>
    </row>
    <row r="161" spans="1:10" x14ac:dyDescent="0.2">
      <c r="A161" s="97" t="s">
        <v>959</v>
      </c>
      <c r="B161" s="98" t="s">
        <v>704</v>
      </c>
      <c r="C161" s="99">
        <v>1</v>
      </c>
      <c r="D161" s="99"/>
      <c r="E161" s="113"/>
      <c r="F161" s="128"/>
      <c r="G161" s="201"/>
      <c r="H161" s="97"/>
      <c r="I161" s="92"/>
    </row>
    <row r="162" spans="1:10" x14ac:dyDescent="0.2">
      <c r="A162" s="97" t="s">
        <v>1032</v>
      </c>
      <c r="B162" s="98" t="s">
        <v>1033</v>
      </c>
      <c r="C162" s="99">
        <v>1</v>
      </c>
      <c r="D162" s="97"/>
      <c r="E162" s="97"/>
      <c r="F162" s="97"/>
      <c r="G162" s="97"/>
      <c r="H162" s="97"/>
      <c r="I162" s="97"/>
    </row>
    <row r="163" spans="1:10" x14ac:dyDescent="0.2">
      <c r="A163" s="97" t="s">
        <v>200</v>
      </c>
      <c r="B163" s="98" t="s">
        <v>201</v>
      </c>
      <c r="C163" s="99">
        <v>1</v>
      </c>
      <c r="D163" s="99"/>
      <c r="E163" s="113"/>
      <c r="F163" s="128"/>
      <c r="G163" s="201"/>
      <c r="H163" s="97"/>
      <c r="I163" s="92"/>
    </row>
    <row r="164" spans="1:10" x14ac:dyDescent="0.2">
      <c r="A164" s="97" t="s">
        <v>202</v>
      </c>
      <c r="B164" s="98" t="s">
        <v>203</v>
      </c>
      <c r="C164" s="99">
        <v>1</v>
      </c>
      <c r="D164" s="99"/>
      <c r="E164" s="128"/>
      <c r="F164" s="202"/>
      <c r="G164" s="113"/>
      <c r="H164" s="113"/>
      <c r="I164" s="92"/>
      <c r="J164" s="84" t="s">
        <v>702</v>
      </c>
    </row>
    <row r="165" spans="1:10" x14ac:dyDescent="0.2">
      <c r="A165" s="97" t="s">
        <v>204</v>
      </c>
      <c r="B165" s="98" t="s">
        <v>205</v>
      </c>
      <c r="C165" s="99">
        <v>1</v>
      </c>
      <c r="D165" s="92"/>
      <c r="E165" s="113"/>
      <c r="F165" s="203"/>
      <c r="G165" s="97"/>
      <c r="H165" s="201"/>
      <c r="I165" s="92"/>
    </row>
    <row r="166" spans="1:10" x14ac:dyDescent="0.2">
      <c r="A166" s="97" t="s">
        <v>206</v>
      </c>
      <c r="B166" s="98" t="s">
        <v>207</v>
      </c>
      <c r="C166" s="99">
        <v>1</v>
      </c>
      <c r="D166" s="92"/>
      <c r="E166" s="113"/>
      <c r="F166" s="203"/>
      <c r="G166" s="113"/>
      <c r="H166" s="94"/>
      <c r="I166" s="92"/>
    </row>
    <row r="167" spans="1:10" x14ac:dyDescent="0.2">
      <c r="A167" s="97" t="s">
        <v>208</v>
      </c>
      <c r="B167" s="98" t="s">
        <v>209</v>
      </c>
      <c r="C167" s="99">
        <v>1</v>
      </c>
      <c r="D167" s="99"/>
      <c r="E167" s="101"/>
      <c r="F167" s="104"/>
      <c r="G167" s="201"/>
      <c r="H167" s="128"/>
      <c r="I167" s="92"/>
    </row>
    <row r="168" spans="1:10" ht="12.75" customHeight="1" x14ac:dyDescent="0.2">
      <c r="A168" s="97" t="s">
        <v>210</v>
      </c>
      <c r="B168" s="98" t="s">
        <v>211</v>
      </c>
      <c r="C168" s="99">
        <v>0.8</v>
      </c>
      <c r="D168" s="99"/>
      <c r="E168" s="101"/>
      <c r="F168" s="104"/>
      <c r="G168" s="201"/>
      <c r="H168" s="128"/>
      <c r="I168" s="92"/>
    </row>
    <row r="169" spans="1:10" x14ac:dyDescent="0.2">
      <c r="A169" s="97" t="s">
        <v>212</v>
      </c>
      <c r="B169" s="98" t="s">
        <v>213</v>
      </c>
      <c r="C169" s="99">
        <v>1</v>
      </c>
      <c r="D169" s="92"/>
      <c r="E169" s="113"/>
      <c r="F169" s="201"/>
      <c r="G169" s="201"/>
      <c r="H169" s="92"/>
      <c r="I169" s="201"/>
    </row>
    <row r="170" spans="1:10" x14ac:dyDescent="0.2">
      <c r="A170" s="97" t="s">
        <v>1034</v>
      </c>
      <c r="B170" s="98" t="s">
        <v>1035</v>
      </c>
      <c r="C170" s="99">
        <v>1</v>
      </c>
      <c r="D170" s="97"/>
      <c r="E170" s="97"/>
      <c r="F170" s="97"/>
      <c r="G170" s="97"/>
      <c r="H170" s="97"/>
      <c r="I170" s="97"/>
    </row>
    <row r="171" spans="1:10" x14ac:dyDescent="0.2">
      <c r="A171" s="97" t="s">
        <v>1036</v>
      </c>
      <c r="B171" s="98" t="s">
        <v>1037</v>
      </c>
      <c r="C171" s="99">
        <v>1</v>
      </c>
      <c r="D171" s="97"/>
      <c r="E171" s="97"/>
      <c r="F171" s="97"/>
      <c r="G171" s="97"/>
      <c r="H171" s="97"/>
      <c r="I171" s="97"/>
    </row>
    <row r="172" spans="1:10" x14ac:dyDescent="0.2">
      <c r="A172" s="97" t="s">
        <v>214</v>
      </c>
      <c r="B172" s="98" t="s">
        <v>215</v>
      </c>
      <c r="C172" s="99">
        <v>1</v>
      </c>
      <c r="D172" s="99"/>
      <c r="E172" s="128"/>
      <c r="F172" s="128"/>
      <c r="G172" s="97"/>
      <c r="H172" s="97"/>
      <c r="I172" s="92"/>
    </row>
    <row r="173" spans="1:10" x14ac:dyDescent="0.2">
      <c r="A173" s="97" t="s">
        <v>1038</v>
      </c>
      <c r="B173" s="98" t="s">
        <v>1039</v>
      </c>
      <c r="C173" s="99">
        <v>1</v>
      </c>
      <c r="D173" s="97"/>
      <c r="E173" s="97"/>
      <c r="F173" s="97"/>
      <c r="G173" s="97"/>
      <c r="H173" s="97"/>
      <c r="I173" s="97"/>
    </row>
    <row r="174" spans="1:10" x14ac:dyDescent="0.2">
      <c r="A174" s="97" t="s">
        <v>216</v>
      </c>
      <c r="B174" s="98" t="s">
        <v>217</v>
      </c>
      <c r="C174" s="99">
        <v>1</v>
      </c>
      <c r="D174" s="99"/>
      <c r="E174" s="128"/>
      <c r="F174" s="128"/>
      <c r="G174" s="97"/>
      <c r="H174" s="97"/>
      <c r="I174" s="92"/>
    </row>
    <row r="175" spans="1:10" x14ac:dyDescent="0.2">
      <c r="A175" s="97" t="s">
        <v>1040</v>
      </c>
      <c r="B175" s="98" t="s">
        <v>1041</v>
      </c>
      <c r="C175" s="99">
        <v>1</v>
      </c>
      <c r="D175" s="97"/>
      <c r="E175" s="97"/>
      <c r="F175" s="97"/>
      <c r="G175" s="97"/>
      <c r="H175" s="97"/>
      <c r="I175" s="97"/>
    </row>
    <row r="176" spans="1:10" x14ac:dyDescent="0.2">
      <c r="A176" s="97" t="s">
        <v>1042</v>
      </c>
      <c r="B176" s="98" t="s">
        <v>1043</v>
      </c>
      <c r="C176" s="99">
        <v>1</v>
      </c>
      <c r="D176" s="97"/>
      <c r="E176" s="97"/>
      <c r="F176" s="97"/>
      <c r="G176" s="97"/>
      <c r="H176" s="97"/>
      <c r="I176" s="97"/>
      <c r="J176" s="84" t="s">
        <v>702</v>
      </c>
    </row>
    <row r="177" spans="1:10" ht="11.25" customHeight="1" x14ac:dyDescent="0.2">
      <c r="A177" s="97" t="s">
        <v>1044</v>
      </c>
      <c r="B177" s="98" t="s">
        <v>1045</v>
      </c>
      <c r="C177" s="99">
        <v>1</v>
      </c>
      <c r="D177" s="97"/>
      <c r="E177" s="97"/>
      <c r="F177" s="97"/>
      <c r="G177" s="97"/>
      <c r="H177" s="97"/>
      <c r="I177" s="97"/>
    </row>
    <row r="178" spans="1:10" x14ac:dyDescent="0.2">
      <c r="A178" s="97" t="s">
        <v>1046</v>
      </c>
      <c r="B178" s="98" t="s">
        <v>1047</v>
      </c>
      <c r="C178" s="175">
        <v>0.76</v>
      </c>
      <c r="D178" s="97"/>
      <c r="E178" s="97"/>
      <c r="F178" s="97"/>
      <c r="G178" s="97"/>
      <c r="H178" s="97"/>
      <c r="I178" s="97"/>
    </row>
    <row r="179" spans="1:10" x14ac:dyDescent="0.2">
      <c r="A179" s="97" t="s">
        <v>1048</v>
      </c>
      <c r="B179" s="98" t="s">
        <v>1049</v>
      </c>
      <c r="C179" s="99">
        <v>1</v>
      </c>
      <c r="D179" s="97"/>
      <c r="E179" s="97"/>
      <c r="F179" s="97"/>
      <c r="G179" s="97"/>
      <c r="H179" s="97"/>
      <c r="I179" s="97"/>
    </row>
    <row r="180" spans="1:10" x14ac:dyDescent="0.2">
      <c r="A180" s="97" t="s">
        <v>1050</v>
      </c>
      <c r="B180" s="98" t="s">
        <v>1051</v>
      </c>
      <c r="C180" s="99">
        <v>1</v>
      </c>
      <c r="D180" s="97"/>
      <c r="E180" s="97"/>
      <c r="F180" s="97"/>
      <c r="G180" s="97"/>
      <c r="H180" s="97"/>
      <c r="I180" s="97"/>
    </row>
    <row r="181" spans="1:10" x14ac:dyDescent="0.2">
      <c r="A181" s="97" t="s">
        <v>218</v>
      </c>
      <c r="B181" s="98" t="s">
        <v>219</v>
      </c>
      <c r="C181" s="99">
        <v>1</v>
      </c>
      <c r="D181" s="99"/>
      <c r="E181" s="128"/>
      <c r="F181" s="128"/>
      <c r="G181" s="97"/>
      <c r="H181" s="97"/>
      <c r="I181" s="92"/>
    </row>
    <row r="182" spans="1:10" x14ac:dyDescent="0.2">
      <c r="A182" s="97" t="s">
        <v>220</v>
      </c>
      <c r="B182" s="98" t="s">
        <v>221</v>
      </c>
      <c r="C182" s="99">
        <v>1</v>
      </c>
      <c r="D182" s="99"/>
      <c r="E182" s="128"/>
      <c r="F182" s="128"/>
      <c r="G182" s="97"/>
      <c r="H182" s="97"/>
      <c r="I182" s="92"/>
    </row>
    <row r="183" spans="1:10" x14ac:dyDescent="0.2">
      <c r="A183" s="97" t="s">
        <v>222</v>
      </c>
      <c r="B183" s="98" t="s">
        <v>223</v>
      </c>
      <c r="C183" s="99">
        <v>1</v>
      </c>
      <c r="D183" s="99"/>
      <c r="E183" s="128"/>
      <c r="F183" s="128"/>
      <c r="G183" s="113"/>
      <c r="H183" s="94"/>
      <c r="I183" s="92"/>
    </row>
    <row r="184" spans="1:10" x14ac:dyDescent="0.2">
      <c r="A184" s="97" t="s">
        <v>224</v>
      </c>
      <c r="B184" s="98" t="s">
        <v>225</v>
      </c>
      <c r="C184" s="99">
        <v>1</v>
      </c>
      <c r="D184" s="103"/>
      <c r="E184" s="104"/>
      <c r="F184" s="132"/>
      <c r="G184" s="113"/>
      <c r="H184" s="113"/>
      <c r="I184" s="92"/>
    </row>
    <row r="185" spans="1:10" x14ac:dyDescent="0.2">
      <c r="A185" s="97" t="s">
        <v>1052</v>
      </c>
      <c r="B185" s="98" t="s">
        <v>1053</v>
      </c>
      <c r="C185" s="99">
        <v>1</v>
      </c>
      <c r="D185" s="97"/>
      <c r="E185" s="97"/>
      <c r="F185" s="97"/>
      <c r="G185" s="97"/>
      <c r="H185" s="97"/>
      <c r="I185" s="97"/>
    </row>
    <row r="186" spans="1:10" x14ac:dyDescent="0.2">
      <c r="A186" s="97" t="s">
        <v>226</v>
      </c>
      <c r="B186" s="98" t="s">
        <v>227</v>
      </c>
      <c r="C186" s="99">
        <v>0.83079999999999998</v>
      </c>
      <c r="D186" s="99"/>
      <c r="E186" s="101"/>
      <c r="F186" s="132"/>
      <c r="G186" s="113"/>
      <c r="H186" s="113"/>
      <c r="I186" s="92"/>
      <c r="J186" s="84" t="s">
        <v>702</v>
      </c>
    </row>
    <row r="187" spans="1:10" x14ac:dyDescent="0.2">
      <c r="A187" s="97" t="s">
        <v>228</v>
      </c>
      <c r="B187" s="98" t="s">
        <v>229</v>
      </c>
      <c r="C187" s="99">
        <v>1</v>
      </c>
      <c r="D187" s="92"/>
      <c r="E187" s="113"/>
      <c r="F187" s="201"/>
      <c r="G187" s="113"/>
      <c r="H187" s="201"/>
      <c r="I187" s="92"/>
    </row>
    <row r="188" spans="1:10" x14ac:dyDescent="0.2">
      <c r="A188" s="97" t="s">
        <v>1054</v>
      </c>
      <c r="B188" s="98" t="s">
        <v>1055</v>
      </c>
      <c r="C188" s="99">
        <v>1</v>
      </c>
      <c r="D188" s="97"/>
      <c r="E188" s="97"/>
      <c r="F188" s="97"/>
      <c r="G188" s="97"/>
      <c r="H188" s="97"/>
      <c r="I188" s="97"/>
    </row>
    <row r="189" spans="1:10" x14ac:dyDescent="0.2">
      <c r="A189" s="97" t="s">
        <v>230</v>
      </c>
      <c r="B189" s="98" t="s">
        <v>231</v>
      </c>
      <c r="C189" s="99">
        <v>1</v>
      </c>
      <c r="D189" s="92"/>
      <c r="E189" s="113"/>
      <c r="F189" s="128"/>
      <c r="G189" s="201"/>
      <c r="H189" s="201"/>
      <c r="I189" s="92"/>
    </row>
    <row r="190" spans="1:10" x14ac:dyDescent="0.2">
      <c r="A190" s="97" t="s">
        <v>232</v>
      </c>
      <c r="B190" s="98" t="s">
        <v>233</v>
      </c>
      <c r="C190" s="99">
        <v>1</v>
      </c>
      <c r="D190" s="99"/>
      <c r="E190" s="113"/>
      <c r="F190" s="113"/>
      <c r="G190" s="113"/>
      <c r="H190" s="113"/>
      <c r="I190" s="92"/>
    </row>
    <row r="191" spans="1:10" x14ac:dyDescent="0.2">
      <c r="A191" s="97" t="s">
        <v>234</v>
      </c>
      <c r="B191" s="98" t="s">
        <v>235</v>
      </c>
      <c r="C191" s="99">
        <v>1</v>
      </c>
      <c r="D191" s="99"/>
      <c r="E191" s="128"/>
      <c r="F191" s="113"/>
      <c r="G191" s="113"/>
      <c r="H191" s="113"/>
      <c r="I191" s="92"/>
    </row>
    <row r="192" spans="1:10" x14ac:dyDescent="0.2">
      <c r="A192" s="97" t="s">
        <v>236</v>
      </c>
      <c r="B192" s="98" t="s">
        <v>237</v>
      </c>
      <c r="C192" s="99">
        <v>1</v>
      </c>
      <c r="D192" s="99"/>
      <c r="E192" s="113"/>
      <c r="F192" s="203"/>
      <c r="G192" s="113"/>
      <c r="H192" s="97"/>
      <c r="I192" s="92"/>
    </row>
    <row r="193" spans="1:10" x14ac:dyDescent="0.2">
      <c r="A193" s="204" t="s">
        <v>238</v>
      </c>
      <c r="B193" s="205" t="s">
        <v>239</v>
      </c>
      <c r="C193" s="206">
        <v>1</v>
      </c>
      <c r="D193" s="207"/>
      <c r="E193" s="208"/>
      <c r="F193" s="209"/>
      <c r="G193" s="209"/>
      <c r="H193" s="204"/>
      <c r="I193" s="92"/>
    </row>
    <row r="194" spans="1:10" x14ac:dyDescent="0.2">
      <c r="A194" s="97" t="s">
        <v>240</v>
      </c>
      <c r="B194" s="98" t="s">
        <v>241</v>
      </c>
      <c r="C194" s="99">
        <v>1</v>
      </c>
      <c r="D194" s="99"/>
      <c r="E194" s="128"/>
      <c r="F194" s="128"/>
      <c r="G194" s="97"/>
      <c r="H194" s="97"/>
      <c r="I194" s="92"/>
    </row>
    <row r="195" spans="1:10" x14ac:dyDescent="0.2">
      <c r="A195" s="97" t="s">
        <v>1056</v>
      </c>
      <c r="B195" s="98" t="s">
        <v>1057</v>
      </c>
      <c r="C195" s="99">
        <v>0.8</v>
      </c>
      <c r="D195" s="97"/>
      <c r="E195" s="97"/>
      <c r="F195" s="97"/>
      <c r="G195" s="97"/>
      <c r="H195" s="97"/>
      <c r="I195" s="97"/>
    </row>
    <row r="196" spans="1:10" x14ac:dyDescent="0.2">
      <c r="A196" s="97" t="s">
        <v>1058</v>
      </c>
      <c r="B196" s="98" t="s">
        <v>1059</v>
      </c>
      <c r="C196" s="99">
        <v>1</v>
      </c>
      <c r="D196" s="97"/>
      <c r="E196" s="97"/>
      <c r="F196" s="97"/>
      <c r="G196" s="97"/>
      <c r="H196" s="97"/>
      <c r="I196" s="97"/>
    </row>
    <row r="197" spans="1:10" x14ac:dyDescent="0.2">
      <c r="A197" s="97" t="s">
        <v>960</v>
      </c>
      <c r="B197" s="98" t="s">
        <v>391</v>
      </c>
      <c r="C197" s="99">
        <v>1</v>
      </c>
      <c r="D197" s="210"/>
      <c r="E197" s="128"/>
      <c r="F197" s="128"/>
      <c r="G197" s="97"/>
      <c r="H197" s="97"/>
      <c r="I197" s="92"/>
    </row>
    <row r="198" spans="1:10" ht="12.75" customHeight="1" x14ac:dyDescent="0.2">
      <c r="A198" s="174" t="s">
        <v>961</v>
      </c>
      <c r="B198" s="146" t="s">
        <v>705</v>
      </c>
      <c r="C198" s="175">
        <v>1</v>
      </c>
      <c r="D198" s="211"/>
      <c r="E198" s="212"/>
      <c r="F198" s="213"/>
      <c r="G198" s="212"/>
      <c r="H198" s="176"/>
      <c r="I198" s="178"/>
    </row>
    <row r="199" spans="1:10" x14ac:dyDescent="0.2">
      <c r="A199" s="97" t="s">
        <v>354</v>
      </c>
      <c r="B199" s="98" t="s">
        <v>706</v>
      </c>
      <c r="C199" s="99">
        <v>0.8</v>
      </c>
      <c r="D199" s="201"/>
      <c r="E199" s="201"/>
      <c r="F199" s="92"/>
      <c r="G199" s="97"/>
      <c r="H199" s="97"/>
      <c r="I199" s="94"/>
      <c r="J199" s="84" t="s">
        <v>702</v>
      </c>
    </row>
    <row r="200" spans="1:10" x14ac:dyDescent="0.2">
      <c r="A200" s="194" t="s">
        <v>962</v>
      </c>
      <c r="B200" s="195" t="s">
        <v>707</v>
      </c>
      <c r="C200" s="196">
        <v>1</v>
      </c>
      <c r="D200" s="196"/>
      <c r="E200" s="214"/>
      <c r="F200" s="215"/>
      <c r="G200" s="197"/>
      <c r="H200" s="197"/>
      <c r="I200" s="200"/>
    </row>
    <row r="201" spans="1:10" x14ac:dyDescent="0.2">
      <c r="A201" s="97" t="s">
        <v>963</v>
      </c>
      <c r="B201" s="98" t="s">
        <v>964</v>
      </c>
      <c r="C201" s="99">
        <v>1</v>
      </c>
      <c r="D201" s="92"/>
      <c r="E201" s="201"/>
      <c r="F201" s="128"/>
      <c r="G201" s="97"/>
      <c r="H201" s="97"/>
      <c r="I201" s="94"/>
    </row>
    <row r="202" spans="1:10" x14ac:dyDescent="0.2">
      <c r="A202" s="97" t="s">
        <v>965</v>
      </c>
      <c r="B202" s="98" t="s">
        <v>972</v>
      </c>
      <c r="C202" s="99">
        <v>1</v>
      </c>
      <c r="D202" s="209"/>
      <c r="E202" s="201"/>
      <c r="F202" s="128"/>
      <c r="G202" s="97"/>
      <c r="H202" s="97"/>
      <c r="I202" s="94"/>
      <c r="J202" s="84"/>
    </row>
    <row r="203" spans="1:10" x14ac:dyDescent="0.2">
      <c r="A203" s="97" t="s">
        <v>966</v>
      </c>
      <c r="B203" s="98" t="s">
        <v>973</v>
      </c>
      <c r="C203" s="99">
        <v>0.8</v>
      </c>
      <c r="D203" s="209"/>
      <c r="E203" s="201"/>
      <c r="F203" s="128"/>
      <c r="G203" s="97"/>
      <c r="H203" s="97"/>
      <c r="I203" s="94"/>
      <c r="J203" s="84"/>
    </row>
    <row r="204" spans="1:10" x14ac:dyDescent="0.2">
      <c r="A204" s="97" t="s">
        <v>967</v>
      </c>
      <c r="B204" s="98" t="s">
        <v>974</v>
      </c>
      <c r="C204" s="99">
        <v>1</v>
      </c>
      <c r="D204" s="92"/>
      <c r="E204" s="201"/>
      <c r="F204" s="128"/>
      <c r="G204" s="97"/>
      <c r="H204" s="97"/>
      <c r="I204" s="94"/>
      <c r="J204" s="84"/>
    </row>
    <row r="205" spans="1:10" x14ac:dyDescent="0.2">
      <c r="A205" s="97" t="s">
        <v>968</v>
      </c>
      <c r="B205" s="98" t="s">
        <v>975</v>
      </c>
      <c r="C205" s="99">
        <v>1</v>
      </c>
      <c r="D205" s="99"/>
      <c r="E205" s="201"/>
      <c r="F205" s="92"/>
      <c r="G205" s="97"/>
      <c r="H205" s="97"/>
      <c r="I205" s="94"/>
      <c r="J205" s="84"/>
    </row>
    <row r="206" spans="1:10" x14ac:dyDescent="0.2">
      <c r="A206" s="97" t="s">
        <v>969</v>
      </c>
      <c r="B206" s="98" t="s">
        <v>976</v>
      </c>
      <c r="C206" s="99">
        <v>0.36919999999999997</v>
      </c>
      <c r="D206" s="99"/>
      <c r="E206" s="92"/>
      <c r="F206"/>
      <c r="G206" s="97"/>
      <c r="H206" s="97"/>
      <c r="I206" s="94"/>
      <c r="J206" s="84"/>
    </row>
    <row r="207" spans="1:10" x14ac:dyDescent="0.2">
      <c r="A207" s="97" t="s">
        <v>970</v>
      </c>
      <c r="B207" s="98" t="s">
        <v>977</v>
      </c>
      <c r="C207" s="99">
        <v>1</v>
      </c>
      <c r="D207" s="99"/>
      <c r="E207" s="201"/>
      <c r="F207" s="92"/>
      <c r="G207"/>
      <c r="H207" s="97"/>
      <c r="I207" s="94"/>
    </row>
    <row r="208" spans="1:10" x14ac:dyDescent="0.2">
      <c r="A208" s="216" t="s">
        <v>971</v>
      </c>
      <c r="B208" s="217" t="s">
        <v>239</v>
      </c>
      <c r="C208" s="218">
        <v>1</v>
      </c>
      <c r="D208" s="218"/>
      <c r="E208" s="219"/>
      <c r="F208" s="220"/>
      <c r="G208" s="216"/>
      <c r="H208" s="209"/>
      <c r="I208" s="221"/>
    </row>
    <row r="209" spans="1:10" x14ac:dyDescent="0.2">
      <c r="A209" s="204" t="s">
        <v>1060</v>
      </c>
      <c r="B209" s="205"/>
      <c r="C209" s="206">
        <v>0.6</v>
      </c>
      <c r="D209" s="206"/>
      <c r="E209" s="209"/>
      <c r="F209" s="222"/>
      <c r="G209" s="204"/>
      <c r="H209" s="209"/>
      <c r="I209" s="209"/>
      <c r="J209" s="142" t="s">
        <v>702</v>
      </c>
    </row>
    <row r="210" spans="1:10" ht="13.5" thickBot="1" x14ac:dyDescent="0.25">
      <c r="A210" s="69" t="s">
        <v>56</v>
      </c>
      <c r="B210" s="223"/>
      <c r="C210" s="224"/>
      <c r="D210" s="225">
        <f>SUM(D154:D209)</f>
        <v>0</v>
      </c>
      <c r="E210" s="225">
        <f t="shared" ref="E210:I210" si="5">SUM(E154:E209)</f>
        <v>0</v>
      </c>
      <c r="F210" s="225">
        <f t="shared" si="5"/>
        <v>0</v>
      </c>
      <c r="G210" s="225">
        <f t="shared" si="5"/>
        <v>0</v>
      </c>
      <c r="H210" s="225">
        <f t="shared" si="5"/>
        <v>0</v>
      </c>
      <c r="I210" s="226">
        <f t="shared" si="5"/>
        <v>0</v>
      </c>
    </row>
    <row r="211" spans="1:10" ht="13.5" thickBot="1" x14ac:dyDescent="0.25">
      <c r="A211" s="84"/>
      <c r="B211" s="84"/>
      <c r="C211" s="84"/>
      <c r="D211" s="84"/>
      <c r="E211" s="84"/>
      <c r="F211" s="84"/>
      <c r="G211" s="84"/>
      <c r="H211" s="84"/>
      <c r="I211" s="84"/>
    </row>
    <row r="212" spans="1:10" ht="13.5" thickBot="1" x14ac:dyDescent="0.25">
      <c r="A212" s="54" t="s">
        <v>22</v>
      </c>
      <c r="B212" s="84"/>
      <c r="C212" s="48"/>
      <c r="D212" s="48"/>
      <c r="E212" s="47"/>
      <c r="F212" s="84"/>
      <c r="G212" s="63" t="s">
        <v>56</v>
      </c>
      <c r="H212" s="64"/>
      <c r="I212" s="65">
        <f>SUM(D222:I222)</f>
        <v>0</v>
      </c>
    </row>
    <row r="213" spans="1:10" x14ac:dyDescent="0.2">
      <c r="A213" s="84"/>
      <c r="B213" s="133"/>
      <c r="C213" s="134"/>
      <c r="D213" s="134"/>
      <c r="E213" s="135"/>
      <c r="F213" s="84"/>
      <c r="G213" s="84"/>
      <c r="H213" s="84"/>
      <c r="I213" s="84"/>
    </row>
    <row r="214" spans="1:10" ht="25.5" x14ac:dyDescent="0.2">
      <c r="A214" s="67" t="s">
        <v>82</v>
      </c>
      <c r="B214" s="67" t="s">
        <v>83</v>
      </c>
      <c r="C214" s="67" t="s">
        <v>172</v>
      </c>
      <c r="D214" s="57" t="s">
        <v>85</v>
      </c>
      <c r="E214" s="57" t="s">
        <v>1022</v>
      </c>
      <c r="F214" s="58" t="s">
        <v>86</v>
      </c>
      <c r="G214" s="57" t="s">
        <v>87</v>
      </c>
      <c r="H214" s="57" t="s">
        <v>88</v>
      </c>
      <c r="I214" s="57" t="s">
        <v>89</v>
      </c>
    </row>
    <row r="215" spans="1:10" x14ac:dyDescent="0.2">
      <c r="A215" s="97" t="s">
        <v>242</v>
      </c>
      <c r="B215" s="98" t="s">
        <v>243</v>
      </c>
      <c r="C215" s="99">
        <v>1</v>
      </c>
      <c r="D215" s="109"/>
      <c r="E215" s="113"/>
      <c r="F215" s="113"/>
      <c r="G215" s="92"/>
      <c r="H215" s="101"/>
      <c r="I215" s="101"/>
    </row>
    <row r="216" spans="1:10" x14ac:dyDescent="0.2">
      <c r="A216" s="97" t="s">
        <v>801</v>
      </c>
      <c r="B216" s="98" t="s">
        <v>244</v>
      </c>
      <c r="C216" s="99">
        <v>1</v>
      </c>
      <c r="D216" s="109"/>
      <c r="E216" s="87"/>
      <c r="F216" s="88"/>
      <c r="G216" s="101"/>
      <c r="H216" s="113"/>
      <c r="I216" s="92"/>
    </row>
    <row r="217" spans="1:10" x14ac:dyDescent="0.2">
      <c r="A217" s="97" t="s">
        <v>802</v>
      </c>
      <c r="B217" s="98" t="s">
        <v>245</v>
      </c>
      <c r="C217" s="99">
        <v>0.6</v>
      </c>
      <c r="D217" s="103"/>
      <c r="E217" s="88"/>
      <c r="F217" s="203"/>
      <c r="G217" s="101"/>
      <c r="H217" s="113"/>
      <c r="I217" s="92"/>
      <c r="J217" s="84"/>
    </row>
    <row r="218" spans="1:10" x14ac:dyDescent="0.2">
      <c r="A218" s="97" t="s">
        <v>708</v>
      </c>
      <c r="B218" s="98" t="s">
        <v>709</v>
      </c>
      <c r="C218" s="99"/>
      <c r="D218" s="113"/>
      <c r="E218" s="113"/>
      <c r="F218" s="88"/>
      <c r="G218" s="120"/>
      <c r="H218" s="90"/>
      <c r="I218" s="101"/>
    </row>
    <row r="219" spans="1:10" x14ac:dyDescent="0.2">
      <c r="A219" s="97" t="s">
        <v>803</v>
      </c>
      <c r="B219" s="98" t="s">
        <v>804</v>
      </c>
      <c r="C219" s="99">
        <v>1</v>
      </c>
      <c r="D219" s="113"/>
      <c r="E219" s="113"/>
      <c r="F219" s="92"/>
      <c r="G219" s="113"/>
      <c r="H219" s="90"/>
      <c r="I219" s="101"/>
    </row>
    <row r="220" spans="1:10" x14ac:dyDescent="0.2">
      <c r="A220" s="116" t="s">
        <v>246</v>
      </c>
      <c r="B220" s="110" t="s">
        <v>247</v>
      </c>
      <c r="C220" s="86"/>
      <c r="D220" s="117"/>
      <c r="E220" s="89"/>
      <c r="F220" s="89"/>
      <c r="G220" s="90"/>
      <c r="H220" s="90"/>
      <c r="I220" s="113"/>
    </row>
    <row r="221" spans="1:10" ht="13.5" thickBot="1" x14ac:dyDescent="0.25">
      <c r="A221" s="116" t="s">
        <v>248</v>
      </c>
      <c r="B221" s="110" t="s">
        <v>869</v>
      </c>
      <c r="C221" s="227">
        <f>0.6*(4/12)+0.4*(8/12)</f>
        <v>0.46666666666666667</v>
      </c>
      <c r="D221" s="113"/>
      <c r="E221" s="92"/>
      <c r="F221" s="93"/>
      <c r="G221" s="90"/>
      <c r="H221" s="90"/>
      <c r="I221" s="120"/>
    </row>
    <row r="222" spans="1:10" ht="13.5" thickBot="1" x14ac:dyDescent="0.25">
      <c r="A222" s="59" t="s">
        <v>56</v>
      </c>
      <c r="B222" s="137"/>
      <c r="C222" s="138"/>
      <c r="D222" s="73">
        <f t="shared" ref="D222:I222" si="6">SUM(D215:D221)</f>
        <v>0</v>
      </c>
      <c r="E222" s="73">
        <f t="shared" si="6"/>
        <v>0</v>
      </c>
      <c r="F222" s="73">
        <f t="shared" si="6"/>
        <v>0</v>
      </c>
      <c r="G222" s="73">
        <f t="shared" si="6"/>
        <v>0</v>
      </c>
      <c r="H222" s="73">
        <f t="shared" si="6"/>
        <v>0</v>
      </c>
      <c r="I222" s="62">
        <f t="shared" si="6"/>
        <v>0</v>
      </c>
    </row>
    <row r="223" spans="1:10" ht="13.5" thickBot="1" x14ac:dyDescent="0.25">
      <c r="A223" s="84"/>
      <c r="B223" s="84"/>
      <c r="C223" s="84"/>
      <c r="D223" s="84"/>
      <c r="E223" s="84"/>
      <c r="F223" s="84"/>
      <c r="G223" s="84"/>
      <c r="H223" s="84"/>
      <c r="I223" s="84"/>
    </row>
    <row r="224" spans="1:10" ht="13.5" thickBot="1" x14ac:dyDescent="0.25">
      <c r="A224" s="54" t="s">
        <v>24</v>
      </c>
      <c r="B224" s="84"/>
      <c r="C224" s="48"/>
      <c r="D224" s="48"/>
      <c r="E224" s="47"/>
      <c r="F224" s="84"/>
      <c r="G224" s="63" t="s">
        <v>56</v>
      </c>
      <c r="H224" s="64"/>
      <c r="I224" s="65">
        <f>SUM(D233:I233)</f>
        <v>0</v>
      </c>
    </row>
    <row r="225" spans="1:9" x14ac:dyDescent="0.2">
      <c r="A225" s="84"/>
      <c r="B225" s="133"/>
      <c r="C225" s="134"/>
      <c r="D225" s="134"/>
      <c r="E225" s="135"/>
      <c r="F225" s="84"/>
      <c r="G225" s="84"/>
      <c r="H225" s="84"/>
      <c r="I225" s="84"/>
    </row>
    <row r="226" spans="1:9" ht="25.5" x14ac:dyDescent="0.2">
      <c r="A226" s="67" t="s">
        <v>82</v>
      </c>
      <c r="B226" s="67" t="s">
        <v>83</v>
      </c>
      <c r="C226" s="67" t="s">
        <v>172</v>
      </c>
      <c r="D226" s="57" t="s">
        <v>173</v>
      </c>
      <c r="E226" s="57" t="s">
        <v>1022</v>
      </c>
      <c r="F226" s="58" t="s">
        <v>86</v>
      </c>
      <c r="G226" s="57" t="s">
        <v>87</v>
      </c>
      <c r="H226" s="57" t="s">
        <v>88</v>
      </c>
      <c r="I226" s="57" t="s">
        <v>89</v>
      </c>
    </row>
    <row r="227" spans="1:9" x14ac:dyDescent="0.2">
      <c r="A227" s="97" t="s">
        <v>248</v>
      </c>
      <c r="B227" s="98" t="s">
        <v>249</v>
      </c>
      <c r="C227" s="99">
        <v>1</v>
      </c>
      <c r="D227" s="92"/>
      <c r="E227" s="87"/>
      <c r="F227" s="88"/>
      <c r="G227" s="88"/>
      <c r="H227" s="88"/>
      <c r="I227" s="92"/>
    </row>
    <row r="228" spans="1:9" x14ac:dyDescent="0.2">
      <c r="A228" s="97" t="s">
        <v>1061</v>
      </c>
      <c r="B228" s="98" t="s">
        <v>1062</v>
      </c>
      <c r="C228" s="99">
        <v>1</v>
      </c>
      <c r="D228" s="97"/>
      <c r="E228" s="97"/>
      <c r="F228" s="97"/>
      <c r="G228" s="97"/>
      <c r="H228" s="97"/>
      <c r="I228" s="97"/>
    </row>
    <row r="229" spans="1:9" ht="14.25" customHeight="1" x14ac:dyDescent="0.2">
      <c r="A229" s="97" t="s">
        <v>250</v>
      </c>
      <c r="B229" s="98" t="s">
        <v>251</v>
      </c>
      <c r="C229" s="99">
        <v>1</v>
      </c>
      <c r="D229" s="99"/>
      <c r="E229" s="203"/>
      <c r="F229" s="88"/>
      <c r="G229" s="101"/>
      <c r="H229" s="94"/>
      <c r="I229" s="92"/>
    </row>
    <row r="230" spans="1:9" ht="14.25" customHeight="1" x14ac:dyDescent="0.2">
      <c r="A230" s="97" t="s">
        <v>710</v>
      </c>
      <c r="B230" s="98" t="s">
        <v>711</v>
      </c>
      <c r="C230" s="99">
        <v>1</v>
      </c>
      <c r="D230" s="99"/>
      <c r="E230" s="88"/>
      <c r="F230" s="88"/>
      <c r="G230" s="88"/>
      <c r="H230" s="92"/>
      <c r="I230" s="94"/>
    </row>
    <row r="231" spans="1:9" x14ac:dyDescent="0.2">
      <c r="A231" s="97" t="s">
        <v>712</v>
      </c>
      <c r="B231" s="98" t="s">
        <v>713</v>
      </c>
      <c r="C231" s="99">
        <v>1</v>
      </c>
      <c r="D231" s="99"/>
      <c r="E231" s="88"/>
      <c r="F231" s="88"/>
      <c r="G231" s="88"/>
      <c r="H231" s="92"/>
      <c r="I231" s="94"/>
    </row>
    <row r="232" spans="1:9" ht="13.5" thickBot="1" x14ac:dyDescent="0.25">
      <c r="A232" s="97" t="s">
        <v>252</v>
      </c>
      <c r="B232" s="98" t="s">
        <v>253</v>
      </c>
      <c r="C232" s="99">
        <v>1</v>
      </c>
      <c r="D232" s="99"/>
      <c r="E232" s="101"/>
      <c r="F232" s="88"/>
      <c r="G232" s="128"/>
      <c r="H232" s="201"/>
      <c r="I232" s="228"/>
    </row>
    <row r="233" spans="1:9" ht="13.5" thickBot="1" x14ac:dyDescent="0.25">
      <c r="A233" s="59" t="s">
        <v>56</v>
      </c>
      <c r="B233" s="137"/>
      <c r="C233" s="138"/>
      <c r="D233" s="73">
        <f t="shared" ref="D233:I233" si="7">SUM(D227:D232)</f>
        <v>0</v>
      </c>
      <c r="E233" s="73">
        <f t="shared" si="7"/>
        <v>0</v>
      </c>
      <c r="F233" s="73">
        <f t="shared" si="7"/>
        <v>0</v>
      </c>
      <c r="G233" s="73">
        <f t="shared" si="7"/>
        <v>0</v>
      </c>
      <c r="H233" s="73">
        <f t="shared" si="7"/>
        <v>0</v>
      </c>
      <c r="I233" s="73">
        <f t="shared" si="7"/>
        <v>0</v>
      </c>
    </row>
    <row r="234" spans="1:9" ht="13.5" thickBot="1" x14ac:dyDescent="0.25">
      <c r="A234" s="84"/>
      <c r="B234" s="84"/>
      <c r="C234" s="84"/>
      <c r="D234" s="84"/>
      <c r="E234" s="84"/>
      <c r="F234" s="84"/>
      <c r="G234" s="84"/>
      <c r="H234" s="84"/>
      <c r="I234" s="84"/>
    </row>
    <row r="235" spans="1:9" ht="13.5" thickBot="1" x14ac:dyDescent="0.25">
      <c r="A235" s="54" t="s">
        <v>25</v>
      </c>
      <c r="B235" s="84"/>
      <c r="C235" s="48"/>
      <c r="D235" s="48"/>
      <c r="E235" s="47"/>
      <c r="F235" s="84"/>
      <c r="G235" s="63" t="s">
        <v>56</v>
      </c>
      <c r="H235" s="64"/>
      <c r="I235" s="65">
        <f>SUM(D247:I247)</f>
        <v>0</v>
      </c>
    </row>
    <row r="236" spans="1:9" x14ac:dyDescent="0.2">
      <c r="A236" s="84"/>
      <c r="B236" s="133"/>
      <c r="C236" s="134"/>
      <c r="D236" s="134"/>
      <c r="E236" s="135"/>
      <c r="F236" s="84"/>
      <c r="G236" s="84"/>
      <c r="H236" s="84"/>
      <c r="I236" s="84"/>
    </row>
    <row r="237" spans="1:9" ht="25.5" x14ac:dyDescent="0.2">
      <c r="A237" s="67" t="s">
        <v>82</v>
      </c>
      <c r="B237" s="67" t="s">
        <v>83</v>
      </c>
      <c r="C237" s="67" t="s">
        <v>172</v>
      </c>
      <c r="D237" s="57" t="s">
        <v>173</v>
      </c>
      <c r="E237" s="57" t="s">
        <v>1022</v>
      </c>
      <c r="F237" s="58" t="s">
        <v>86</v>
      </c>
      <c r="G237" s="57" t="s">
        <v>87</v>
      </c>
      <c r="H237" s="57" t="s">
        <v>88</v>
      </c>
      <c r="I237" s="57" t="s">
        <v>89</v>
      </c>
    </row>
    <row r="238" spans="1:9" x14ac:dyDescent="0.2">
      <c r="A238" s="229" t="s">
        <v>254</v>
      </c>
      <c r="B238" s="230" t="s">
        <v>255</v>
      </c>
      <c r="C238" s="99">
        <f>10/12</f>
        <v>0.83333333333333337</v>
      </c>
      <c r="D238" s="99"/>
      <c r="E238" s="87"/>
      <c r="F238" s="87"/>
      <c r="G238" s="90"/>
      <c r="H238" s="90"/>
      <c r="I238" s="92"/>
    </row>
    <row r="239" spans="1:9" x14ac:dyDescent="0.2">
      <c r="A239" s="97" t="s">
        <v>870</v>
      </c>
      <c r="B239" s="98" t="s">
        <v>256</v>
      </c>
      <c r="C239" s="99">
        <f>0.2*(5/7)+1*(7/12)</f>
        <v>0.72619047619047628</v>
      </c>
      <c r="D239" s="92"/>
      <c r="E239" s="87"/>
      <c r="F239" s="87"/>
      <c r="G239" s="90"/>
      <c r="H239" s="90"/>
      <c r="I239" s="92"/>
    </row>
    <row r="240" spans="1:9" x14ac:dyDescent="0.2">
      <c r="A240" s="97" t="s">
        <v>257</v>
      </c>
      <c r="B240" s="98" t="s">
        <v>258</v>
      </c>
      <c r="C240" s="99">
        <v>0.6</v>
      </c>
      <c r="D240" s="92"/>
      <c r="E240" s="87"/>
      <c r="F240" s="203"/>
      <c r="G240" s="101"/>
      <c r="H240" s="101"/>
      <c r="I240" s="92"/>
    </row>
    <row r="241" spans="1:9" x14ac:dyDescent="0.2">
      <c r="A241" s="97" t="s">
        <v>658</v>
      </c>
      <c r="B241" s="98" t="s">
        <v>659</v>
      </c>
      <c r="C241" s="99">
        <v>1</v>
      </c>
      <c r="D241" s="92"/>
      <c r="E241" s="101"/>
      <c r="F241" s="101"/>
      <c r="G241" s="92"/>
      <c r="H241" s="94"/>
      <c r="I241" s="101"/>
    </row>
    <row r="242" spans="1:9" x14ac:dyDescent="0.2">
      <c r="A242" s="97" t="s">
        <v>259</v>
      </c>
      <c r="B242" s="98" t="s">
        <v>260</v>
      </c>
      <c r="C242" s="99">
        <v>0.8</v>
      </c>
      <c r="D242" s="92"/>
      <c r="E242" s="113"/>
      <c r="F242" s="101"/>
      <c r="G242" s="101"/>
      <c r="H242" s="101"/>
      <c r="I242" s="101"/>
    </row>
    <row r="243" spans="1:9" x14ac:dyDescent="0.2">
      <c r="A243" s="97" t="s">
        <v>871</v>
      </c>
      <c r="B243" s="98" t="s">
        <v>874</v>
      </c>
      <c r="C243" s="99">
        <v>1</v>
      </c>
      <c r="D243" s="101"/>
      <c r="E243" s="92"/>
      <c r="F243" s="101"/>
      <c r="G243" s="101"/>
      <c r="H243" s="101"/>
      <c r="I243" s="101"/>
    </row>
    <row r="244" spans="1:9" x14ac:dyDescent="0.2">
      <c r="A244" s="97" t="s">
        <v>872</v>
      </c>
      <c r="B244" s="98" t="s">
        <v>875</v>
      </c>
      <c r="C244" s="99">
        <v>0.6</v>
      </c>
      <c r="D244" s="101"/>
      <c r="E244" s="92"/>
      <c r="F244" s="101"/>
      <c r="G244" s="101"/>
      <c r="H244" s="101"/>
      <c r="I244" s="101"/>
    </row>
    <row r="245" spans="1:9" x14ac:dyDescent="0.2">
      <c r="A245" s="97" t="s">
        <v>873</v>
      </c>
      <c r="B245" s="98" t="s">
        <v>876</v>
      </c>
      <c r="C245" s="99">
        <v>0.4</v>
      </c>
      <c r="D245" s="101"/>
      <c r="E245" s="92"/>
      <c r="F245" s="101"/>
      <c r="G245" s="101"/>
      <c r="H245" s="101"/>
      <c r="I245" s="101"/>
    </row>
    <row r="246" spans="1:9" x14ac:dyDescent="0.2">
      <c r="A246" s="172" t="s">
        <v>1063</v>
      </c>
      <c r="B246" s="98"/>
      <c r="C246" s="99">
        <v>1</v>
      </c>
      <c r="D246" s="101"/>
      <c r="E246" s="113"/>
      <c r="F246" s="101"/>
      <c r="G246" s="101"/>
      <c r="H246" s="101"/>
      <c r="I246" s="92"/>
    </row>
    <row r="247" spans="1:9" ht="13.5" thickBot="1" x14ac:dyDescent="0.25">
      <c r="A247" s="69" t="s">
        <v>56</v>
      </c>
      <c r="B247" s="223"/>
      <c r="C247" s="224"/>
      <c r="D247" s="72">
        <f>SUM(D238:D246)</f>
        <v>0</v>
      </c>
      <c r="E247" s="72">
        <f t="shared" ref="E247:I247" si="8">SUM(E238:E246)</f>
        <v>0</v>
      </c>
      <c r="F247" s="72">
        <f t="shared" si="8"/>
        <v>0</v>
      </c>
      <c r="G247" s="72">
        <f t="shared" si="8"/>
        <v>0</v>
      </c>
      <c r="H247" s="72">
        <f t="shared" si="8"/>
        <v>0</v>
      </c>
      <c r="I247" s="72">
        <f t="shared" si="8"/>
        <v>0</v>
      </c>
    </row>
    <row r="248" spans="1:9" x14ac:dyDescent="0.2">
      <c r="A248" s="84"/>
      <c r="B248" s="84"/>
      <c r="C248" s="84"/>
      <c r="D248" s="84"/>
      <c r="E248" s="84"/>
      <c r="F248" s="84"/>
      <c r="G248" s="84"/>
      <c r="H248" s="84"/>
      <c r="I248" s="84"/>
    </row>
    <row r="249" spans="1:9" x14ac:dyDescent="0.2">
      <c r="A249" s="84"/>
      <c r="B249" s="84"/>
      <c r="C249" s="84"/>
      <c r="D249" s="84"/>
      <c r="E249" s="84"/>
      <c r="F249" s="84"/>
      <c r="G249" s="84"/>
      <c r="H249" s="84"/>
      <c r="I249" s="84"/>
    </row>
    <row r="250" spans="1:9" ht="13.5" thickBot="1" x14ac:dyDescent="0.25">
      <c r="A250" s="84"/>
      <c r="B250" s="84"/>
      <c r="C250" s="84"/>
      <c r="D250" s="84"/>
      <c r="E250" s="84"/>
      <c r="F250" s="84"/>
      <c r="G250" s="84"/>
      <c r="H250" s="84"/>
      <c r="I250" s="84"/>
    </row>
    <row r="251" spans="1:9" ht="13.5" thickBot="1" x14ac:dyDescent="0.25">
      <c r="A251" s="54" t="s">
        <v>26</v>
      </c>
      <c r="B251" s="84"/>
      <c r="C251" s="48"/>
      <c r="D251" s="48"/>
      <c r="E251" s="47"/>
      <c r="F251" s="84"/>
      <c r="G251" s="63" t="s">
        <v>56</v>
      </c>
      <c r="H251" s="64"/>
      <c r="I251" s="65">
        <f>SUM(D262:I262)</f>
        <v>0</v>
      </c>
    </row>
    <row r="252" spans="1:9" x14ac:dyDescent="0.2">
      <c r="A252" s="84"/>
      <c r="B252" s="133"/>
      <c r="C252" s="134"/>
      <c r="D252" s="134"/>
      <c r="E252" s="135"/>
      <c r="F252" s="84"/>
      <c r="G252" s="84"/>
      <c r="H252" s="84"/>
      <c r="I252" s="84"/>
    </row>
    <row r="253" spans="1:9" ht="25.5" x14ac:dyDescent="0.2">
      <c r="A253" s="67" t="s">
        <v>82</v>
      </c>
      <c r="B253" s="67" t="s">
        <v>83</v>
      </c>
      <c r="C253" s="67" t="s">
        <v>172</v>
      </c>
      <c r="D253" s="57" t="s">
        <v>173</v>
      </c>
      <c r="E253" s="57" t="s">
        <v>1022</v>
      </c>
      <c r="F253" s="58" t="s">
        <v>86</v>
      </c>
      <c r="G253" s="57" t="s">
        <v>87</v>
      </c>
      <c r="H253" s="57" t="s">
        <v>88</v>
      </c>
      <c r="I253" s="57" t="s">
        <v>89</v>
      </c>
    </row>
    <row r="254" spans="1:9" x14ac:dyDescent="0.2">
      <c r="A254" s="97" t="s">
        <v>261</v>
      </c>
      <c r="B254" s="98" t="s">
        <v>262</v>
      </c>
      <c r="C254" s="99">
        <v>1</v>
      </c>
      <c r="D254" s="99"/>
      <c r="E254" s="101"/>
      <c r="F254" s="101"/>
      <c r="G254" s="101"/>
      <c r="H254" s="101"/>
      <c r="I254" s="92"/>
    </row>
    <row r="255" spans="1:9" x14ac:dyDescent="0.2">
      <c r="A255" s="97" t="s">
        <v>263</v>
      </c>
      <c r="B255" s="98" t="s">
        <v>264</v>
      </c>
      <c r="C255" s="99">
        <v>0.9</v>
      </c>
      <c r="D255" s="99"/>
      <c r="E255" s="101"/>
      <c r="F255" s="101"/>
      <c r="G255" s="92"/>
      <c r="H255" s="94"/>
      <c r="I255" s="101"/>
    </row>
    <row r="256" spans="1:9" x14ac:dyDescent="0.2">
      <c r="A256" s="112" t="s">
        <v>1064</v>
      </c>
      <c r="B256" s="98" t="s">
        <v>1065</v>
      </c>
      <c r="C256" s="99">
        <v>1</v>
      </c>
      <c r="D256" s="97"/>
      <c r="E256" s="97"/>
      <c r="F256" s="97"/>
      <c r="G256" s="97"/>
      <c r="H256" s="97"/>
      <c r="I256" s="97"/>
    </row>
    <row r="257" spans="1:10" x14ac:dyDescent="0.2">
      <c r="A257" s="97" t="s">
        <v>265</v>
      </c>
      <c r="B257" s="98" t="s">
        <v>266</v>
      </c>
      <c r="C257" s="99">
        <v>1</v>
      </c>
      <c r="D257" s="99"/>
      <c r="E257" s="101"/>
      <c r="F257" s="101"/>
      <c r="G257" s="92"/>
      <c r="H257" s="101"/>
      <c r="I257" s="101"/>
    </row>
    <row r="258" spans="1:10" x14ac:dyDescent="0.2">
      <c r="A258" s="97" t="s">
        <v>267</v>
      </c>
      <c r="B258" s="98" t="s">
        <v>268</v>
      </c>
      <c r="C258" s="99">
        <v>1</v>
      </c>
      <c r="D258" s="118"/>
      <c r="E258" s="92"/>
      <c r="F258" s="101"/>
      <c r="G258" s="101"/>
      <c r="H258" s="101"/>
      <c r="I258" s="101"/>
    </row>
    <row r="259" spans="1:10" x14ac:dyDescent="0.2">
      <c r="A259" s="97" t="s">
        <v>1066</v>
      </c>
      <c r="B259" s="98" t="s">
        <v>1067</v>
      </c>
      <c r="C259" s="99">
        <v>0.9</v>
      </c>
      <c r="D259" s="97"/>
      <c r="E259" s="97"/>
      <c r="F259" s="97"/>
      <c r="G259" s="97"/>
      <c r="H259" s="97"/>
      <c r="I259" s="97"/>
    </row>
    <row r="260" spans="1:10" x14ac:dyDescent="0.2">
      <c r="A260" s="116" t="s">
        <v>269</v>
      </c>
      <c r="B260" s="110" t="s">
        <v>270</v>
      </c>
      <c r="C260" s="86">
        <v>1</v>
      </c>
      <c r="D260" s="90"/>
      <c r="E260" s="92"/>
      <c r="F260" s="90"/>
      <c r="G260" s="90"/>
      <c r="H260" s="90"/>
      <c r="I260" s="90"/>
    </row>
    <row r="261" spans="1:10" x14ac:dyDescent="0.2">
      <c r="A261" s="172" t="s">
        <v>1068</v>
      </c>
      <c r="B261" s="231" t="s">
        <v>1069</v>
      </c>
      <c r="C261" s="99">
        <v>1</v>
      </c>
      <c r="D261" s="101"/>
      <c r="E261" s="92"/>
      <c r="F261" s="101"/>
      <c r="G261" s="101"/>
      <c r="H261" s="101"/>
      <c r="I261" s="101"/>
    </row>
    <row r="262" spans="1:10" ht="13.5" thickBot="1" x14ac:dyDescent="0.25">
      <c r="A262" s="69" t="s">
        <v>56</v>
      </c>
      <c r="B262" s="223"/>
      <c r="C262" s="224"/>
      <c r="D262" s="72">
        <f>SUM(D254:D261)</f>
        <v>0</v>
      </c>
      <c r="E262" s="72">
        <f t="shared" ref="E262:I262" si="9">SUM(E254:E261)</f>
        <v>0</v>
      </c>
      <c r="F262" s="72">
        <f t="shared" si="9"/>
        <v>0</v>
      </c>
      <c r="G262" s="72">
        <f t="shared" si="9"/>
        <v>0</v>
      </c>
      <c r="H262" s="72">
        <f t="shared" si="9"/>
        <v>0</v>
      </c>
      <c r="I262" s="72">
        <f t="shared" si="9"/>
        <v>0</v>
      </c>
    </row>
    <row r="263" spans="1:10" ht="13.5" thickBot="1" x14ac:dyDescent="0.25">
      <c r="A263" s="84"/>
      <c r="B263" s="84"/>
      <c r="C263" s="84"/>
      <c r="D263" s="84"/>
      <c r="E263" s="84"/>
      <c r="F263" s="84"/>
      <c r="G263" s="84"/>
      <c r="H263" s="84"/>
      <c r="I263" s="84"/>
    </row>
    <row r="264" spans="1:10" ht="13.5" thickBot="1" x14ac:dyDescent="0.25">
      <c r="A264" s="54" t="s">
        <v>15</v>
      </c>
      <c r="B264" s="232"/>
      <c r="C264" s="233" t="s">
        <v>1070</v>
      </c>
      <c r="D264" s="233"/>
      <c r="E264" s="47"/>
      <c r="F264" s="84"/>
      <c r="G264" s="63" t="s">
        <v>56</v>
      </c>
      <c r="H264" s="64"/>
      <c r="I264" s="65">
        <f>SUM(D267:I333)</f>
        <v>0</v>
      </c>
    </row>
    <row r="265" spans="1:10" x14ac:dyDescent="0.2">
      <c r="A265" s="84"/>
      <c r="B265" s="133"/>
      <c r="C265" s="134"/>
      <c r="D265" s="134"/>
      <c r="E265" s="135"/>
      <c r="F265" s="84"/>
      <c r="G265" s="84"/>
      <c r="H265" s="84"/>
      <c r="I265" s="84"/>
    </row>
    <row r="266" spans="1:10" ht="25.5" x14ac:dyDescent="0.2">
      <c r="A266" s="67" t="s">
        <v>82</v>
      </c>
      <c r="B266" s="67" t="s">
        <v>83</v>
      </c>
      <c r="C266" s="67" t="s">
        <v>172</v>
      </c>
      <c r="D266" s="57" t="s">
        <v>173</v>
      </c>
      <c r="E266" s="57" t="s">
        <v>978</v>
      </c>
      <c r="F266" s="58" t="s">
        <v>86</v>
      </c>
      <c r="G266" s="57" t="s">
        <v>87</v>
      </c>
      <c r="H266" s="57" t="s">
        <v>88</v>
      </c>
      <c r="I266" s="57" t="s">
        <v>89</v>
      </c>
    </row>
    <row r="267" spans="1:10" x14ac:dyDescent="0.2">
      <c r="A267" s="234" t="s">
        <v>271</v>
      </c>
      <c r="B267" s="98" t="s">
        <v>272</v>
      </c>
      <c r="C267" s="235">
        <v>1</v>
      </c>
      <c r="D267" s="235"/>
      <c r="E267" s="87"/>
      <c r="F267" s="87"/>
      <c r="G267" s="101"/>
      <c r="H267" s="101"/>
      <c r="I267" s="101"/>
      <c r="J267" s="84" t="s">
        <v>702</v>
      </c>
    </row>
    <row r="268" spans="1:10" x14ac:dyDescent="0.2">
      <c r="A268" s="112" t="s">
        <v>1071</v>
      </c>
      <c r="B268" s="98" t="s">
        <v>1072</v>
      </c>
      <c r="C268" s="99">
        <v>1</v>
      </c>
      <c r="D268" s="97"/>
      <c r="E268" s="97"/>
      <c r="F268" s="97"/>
      <c r="G268" s="97"/>
      <c r="H268" s="97"/>
      <c r="I268" s="97"/>
    </row>
    <row r="269" spans="1:10" x14ac:dyDescent="0.2">
      <c r="A269" s="234" t="s">
        <v>1073</v>
      </c>
      <c r="B269" s="98" t="s">
        <v>273</v>
      </c>
      <c r="C269" s="235">
        <v>1</v>
      </c>
      <c r="D269" s="235"/>
      <c r="E269" s="115"/>
      <c r="F269" s="87"/>
      <c r="G269" s="87"/>
      <c r="H269" s="101"/>
      <c r="I269" s="101"/>
    </row>
    <row r="270" spans="1:10" x14ac:dyDescent="0.2">
      <c r="A270" s="234" t="s">
        <v>1074</v>
      </c>
      <c r="B270" s="98" t="s">
        <v>274</v>
      </c>
      <c r="C270" s="235">
        <v>1</v>
      </c>
      <c r="D270" s="235"/>
      <c r="E270" s="87"/>
      <c r="F270" s="87"/>
      <c r="G270" s="87"/>
      <c r="H270" s="101"/>
      <c r="I270" s="101"/>
    </row>
    <row r="271" spans="1:10" x14ac:dyDescent="0.2">
      <c r="A271" s="97" t="s">
        <v>275</v>
      </c>
      <c r="B271" s="98" t="s">
        <v>276</v>
      </c>
      <c r="C271" s="99">
        <v>1</v>
      </c>
      <c r="D271" s="97"/>
      <c r="E271" s="97"/>
      <c r="F271" s="97"/>
      <c r="G271" s="97"/>
      <c r="H271" s="97"/>
      <c r="I271" s="97"/>
    </row>
    <row r="272" spans="1:10" x14ac:dyDescent="0.2">
      <c r="A272" s="97" t="s">
        <v>277</v>
      </c>
      <c r="B272" s="98" t="s">
        <v>278</v>
      </c>
      <c r="C272" s="235">
        <v>1</v>
      </c>
      <c r="D272" s="235"/>
      <c r="E272" s="87"/>
      <c r="F272" s="87"/>
      <c r="G272" s="101"/>
      <c r="H272" s="101"/>
      <c r="I272" s="101"/>
    </row>
    <row r="273" spans="1:10" x14ac:dyDescent="0.2">
      <c r="A273" s="97" t="s">
        <v>1075</v>
      </c>
      <c r="B273" s="98" t="s">
        <v>1076</v>
      </c>
      <c r="C273" s="99">
        <v>1</v>
      </c>
      <c r="D273" s="97"/>
      <c r="E273" s="97"/>
      <c r="F273" s="97"/>
      <c r="G273" s="97"/>
      <c r="H273" s="97"/>
      <c r="I273" s="97"/>
    </row>
    <row r="274" spans="1:10" x14ac:dyDescent="0.2">
      <c r="A274" s="97" t="s">
        <v>955</v>
      </c>
      <c r="B274" s="98" t="s">
        <v>956</v>
      </c>
      <c r="C274" s="99">
        <v>1</v>
      </c>
      <c r="D274" s="97"/>
      <c r="E274" s="97"/>
      <c r="F274" s="97"/>
      <c r="G274" s="97"/>
      <c r="H274" s="97"/>
      <c r="I274" s="97"/>
    </row>
    <row r="275" spans="1:10" x14ac:dyDescent="0.2">
      <c r="A275" s="97" t="s">
        <v>279</v>
      </c>
      <c r="B275" s="98" t="s">
        <v>280</v>
      </c>
      <c r="C275" s="99">
        <v>1</v>
      </c>
      <c r="D275" s="97"/>
      <c r="E275" s="97"/>
      <c r="F275" s="97"/>
      <c r="G275" s="97"/>
      <c r="H275" s="97"/>
      <c r="I275" s="101"/>
      <c r="J275" s="84" t="s">
        <v>702</v>
      </c>
    </row>
    <row r="276" spans="1:10" x14ac:dyDescent="0.2">
      <c r="A276" s="97" t="s">
        <v>1077</v>
      </c>
      <c r="B276" s="98" t="s">
        <v>1078</v>
      </c>
      <c r="C276" s="99">
        <v>0.8</v>
      </c>
      <c r="D276" s="97"/>
      <c r="E276" s="97"/>
      <c r="F276" s="97"/>
      <c r="G276" s="97"/>
      <c r="H276" s="97"/>
      <c r="I276" s="97"/>
    </row>
    <row r="277" spans="1:10" x14ac:dyDescent="0.2">
      <c r="A277" s="234" t="s">
        <v>1079</v>
      </c>
      <c r="B277" s="98" t="s">
        <v>281</v>
      </c>
      <c r="C277" s="235">
        <v>1</v>
      </c>
      <c r="D277" s="235"/>
      <c r="E277" s="87"/>
      <c r="F277" s="87"/>
      <c r="G277" s="101"/>
      <c r="H277" s="101"/>
      <c r="I277" s="101"/>
    </row>
    <row r="278" spans="1:10" x14ac:dyDescent="0.2">
      <c r="A278" s="112" t="s">
        <v>1080</v>
      </c>
      <c r="B278" s="98" t="s">
        <v>1081</v>
      </c>
      <c r="C278" s="99">
        <v>1</v>
      </c>
      <c r="D278" s="97"/>
      <c r="E278" s="97"/>
      <c r="F278" s="97"/>
      <c r="G278" s="97"/>
      <c r="H278" s="97"/>
      <c r="I278" s="97"/>
    </row>
    <row r="279" spans="1:10" x14ac:dyDescent="0.2">
      <c r="A279" s="97" t="s">
        <v>282</v>
      </c>
      <c r="B279" s="98" t="s">
        <v>283</v>
      </c>
      <c r="C279" s="99">
        <v>1</v>
      </c>
      <c r="D279" s="97"/>
      <c r="E279" s="97"/>
      <c r="F279" s="97"/>
      <c r="G279" s="97"/>
      <c r="H279" s="97"/>
      <c r="I279" s="97"/>
    </row>
    <row r="280" spans="1:10" x14ac:dyDescent="0.2">
      <c r="A280" s="234" t="s">
        <v>1082</v>
      </c>
      <c r="B280" s="98" t="s">
        <v>284</v>
      </c>
      <c r="C280" s="235">
        <v>1</v>
      </c>
      <c r="D280" s="235"/>
      <c r="E280" s="87"/>
      <c r="F280" s="87"/>
      <c r="G280" s="101"/>
      <c r="H280" s="101"/>
      <c r="I280" s="101"/>
    </row>
    <row r="281" spans="1:10" x14ac:dyDescent="0.2">
      <c r="A281" s="234" t="s">
        <v>1083</v>
      </c>
      <c r="B281" s="98" t="s">
        <v>285</v>
      </c>
      <c r="C281" s="235">
        <v>1</v>
      </c>
      <c r="D281" s="87"/>
      <c r="E281" s="87"/>
      <c r="F281" s="87"/>
      <c r="G281" s="101"/>
      <c r="H281" s="101"/>
      <c r="I281" s="101"/>
      <c r="J281" s="84" t="s">
        <v>702</v>
      </c>
    </row>
    <row r="282" spans="1:10" x14ac:dyDescent="0.2">
      <c r="A282" s="97" t="s">
        <v>286</v>
      </c>
      <c r="B282" s="98" t="s">
        <v>287</v>
      </c>
      <c r="C282" s="99">
        <v>1</v>
      </c>
      <c r="D282" s="97"/>
      <c r="E282" s="97"/>
      <c r="F282" s="97"/>
      <c r="G282" s="97"/>
      <c r="H282" s="97"/>
      <c r="I282" s="97"/>
    </row>
    <row r="283" spans="1:10" x14ac:dyDescent="0.2">
      <c r="A283" s="234" t="s">
        <v>1084</v>
      </c>
      <c r="B283" s="98" t="s">
        <v>288</v>
      </c>
      <c r="C283" s="235">
        <v>1</v>
      </c>
      <c r="D283" s="235"/>
      <c r="E283" s="101"/>
      <c r="F283" s="101"/>
      <c r="G283" s="87"/>
      <c r="H283" s="87"/>
      <c r="I283" s="101"/>
    </row>
    <row r="284" spans="1:10" x14ac:dyDescent="0.2">
      <c r="A284" s="234" t="s">
        <v>1085</v>
      </c>
      <c r="B284" s="98" t="s">
        <v>289</v>
      </c>
      <c r="C284" s="235">
        <v>1</v>
      </c>
      <c r="D284" s="235"/>
      <c r="E284" s="87"/>
      <c r="F284" s="87"/>
      <c r="G284" s="101"/>
      <c r="H284" s="101"/>
      <c r="I284" s="101"/>
    </row>
    <row r="285" spans="1:10" x14ac:dyDescent="0.2">
      <c r="A285" s="97" t="s">
        <v>290</v>
      </c>
      <c r="B285" s="98" t="s">
        <v>291</v>
      </c>
      <c r="C285" s="99">
        <v>0.44</v>
      </c>
      <c r="D285" s="97"/>
      <c r="E285" s="97"/>
      <c r="F285" s="97"/>
      <c r="G285" s="97"/>
      <c r="H285" s="97"/>
      <c r="I285" s="97"/>
    </row>
    <row r="286" spans="1:10" x14ac:dyDescent="0.2">
      <c r="A286" s="234" t="s">
        <v>1086</v>
      </c>
      <c r="B286" s="98" t="s">
        <v>292</v>
      </c>
      <c r="C286" s="235">
        <v>1</v>
      </c>
      <c r="D286" s="235"/>
      <c r="E286" s="87"/>
      <c r="F286" s="87"/>
      <c r="G286" s="87"/>
      <c r="H286" s="101"/>
      <c r="I286" s="101"/>
    </row>
    <row r="287" spans="1:10" x14ac:dyDescent="0.2">
      <c r="A287" s="234" t="s">
        <v>1087</v>
      </c>
      <c r="B287" s="98" t="s">
        <v>293</v>
      </c>
      <c r="C287" s="235">
        <v>1</v>
      </c>
      <c r="D287" s="87"/>
      <c r="E287" s="87"/>
      <c r="F287" s="87"/>
      <c r="G287" s="101"/>
      <c r="H287" s="101"/>
      <c r="I287" s="101"/>
    </row>
    <row r="288" spans="1:10" x14ac:dyDescent="0.2">
      <c r="A288" s="97" t="s">
        <v>1088</v>
      </c>
      <c r="B288" s="98" t="s">
        <v>1089</v>
      </c>
      <c r="C288" s="99">
        <v>1</v>
      </c>
      <c r="D288" s="97"/>
      <c r="E288" s="97"/>
      <c r="F288" s="97"/>
      <c r="G288" s="97"/>
      <c r="H288" s="97"/>
      <c r="I288" s="97"/>
    </row>
    <row r="289" spans="1:10" x14ac:dyDescent="0.2">
      <c r="A289" s="234" t="s">
        <v>1090</v>
      </c>
      <c r="B289" s="98" t="s">
        <v>294</v>
      </c>
      <c r="C289" s="236">
        <v>0.6</v>
      </c>
      <c r="D289" s="235"/>
      <c r="E289" s="87"/>
      <c r="F289" s="87"/>
      <c r="G289" s="101"/>
      <c r="H289" s="101"/>
      <c r="I289" s="101"/>
    </row>
    <row r="290" spans="1:10" x14ac:dyDescent="0.2">
      <c r="A290" s="234" t="s">
        <v>295</v>
      </c>
      <c r="B290" s="98" t="s">
        <v>296</v>
      </c>
      <c r="C290" s="235">
        <v>1</v>
      </c>
      <c r="D290" s="235"/>
      <c r="E290" s="87"/>
      <c r="F290" s="87"/>
      <c r="G290" s="101"/>
      <c r="H290" s="101"/>
      <c r="I290" s="101"/>
    </row>
    <row r="291" spans="1:10" x14ac:dyDescent="0.2">
      <c r="A291" s="234" t="s">
        <v>1091</v>
      </c>
      <c r="B291" s="98" t="s">
        <v>298</v>
      </c>
      <c r="C291" s="235">
        <v>1</v>
      </c>
      <c r="D291" s="235"/>
      <c r="E291" s="87"/>
      <c r="F291" s="87"/>
      <c r="G291" s="87"/>
      <c r="H291" s="101"/>
      <c r="I291" s="101"/>
    </row>
    <row r="292" spans="1:10" x14ac:dyDescent="0.2">
      <c r="A292" s="97" t="s">
        <v>297</v>
      </c>
      <c r="B292" s="98" t="s">
        <v>298</v>
      </c>
      <c r="C292" s="99">
        <v>1</v>
      </c>
      <c r="D292" s="97"/>
      <c r="E292" s="97"/>
      <c r="F292" s="97"/>
      <c r="G292" s="97"/>
      <c r="H292" s="97"/>
      <c r="I292" s="97"/>
      <c r="J292" s="84" t="s">
        <v>702</v>
      </c>
    </row>
    <row r="293" spans="1:10" x14ac:dyDescent="0.2">
      <c r="A293" s="234" t="s">
        <v>1092</v>
      </c>
      <c r="B293" s="98" t="s">
        <v>299</v>
      </c>
      <c r="C293" s="235">
        <v>1</v>
      </c>
      <c r="D293" s="235"/>
      <c r="E293" s="101"/>
      <c r="F293" s="136"/>
      <c r="G293" s="87"/>
      <c r="H293" s="87"/>
      <c r="I293" s="101"/>
    </row>
    <row r="294" spans="1:10" x14ac:dyDescent="0.2">
      <c r="A294" s="97" t="s">
        <v>300</v>
      </c>
      <c r="B294" s="98" t="s">
        <v>301</v>
      </c>
      <c r="C294" s="99">
        <v>1</v>
      </c>
      <c r="D294" s="97"/>
      <c r="E294" s="97"/>
      <c r="F294" s="97"/>
      <c r="G294" s="97"/>
      <c r="H294" s="97"/>
      <c r="I294" s="97"/>
    </row>
    <row r="295" spans="1:10" x14ac:dyDescent="0.2">
      <c r="A295" s="237" t="s">
        <v>1093</v>
      </c>
      <c r="B295" s="98" t="s">
        <v>302</v>
      </c>
      <c r="C295" s="235">
        <v>1</v>
      </c>
      <c r="D295" s="235"/>
      <c r="E295" s="87"/>
      <c r="F295" s="87"/>
      <c r="G295" s="101"/>
      <c r="H295" s="101"/>
      <c r="I295" s="101"/>
    </row>
    <row r="296" spans="1:10" x14ac:dyDescent="0.2">
      <c r="A296" s="234" t="s">
        <v>1094</v>
      </c>
      <c r="B296" s="98" t="s">
        <v>303</v>
      </c>
      <c r="C296" s="235">
        <v>1</v>
      </c>
      <c r="D296" s="235"/>
      <c r="E296" s="87"/>
      <c r="F296" s="87"/>
      <c r="G296" s="101"/>
      <c r="H296" s="101"/>
      <c r="I296" s="101"/>
      <c r="J296" s="84"/>
    </row>
    <row r="297" spans="1:10" x14ac:dyDescent="0.2">
      <c r="A297" s="97" t="s">
        <v>304</v>
      </c>
      <c r="B297" s="98" t="s">
        <v>305</v>
      </c>
      <c r="C297" s="99">
        <v>0.8</v>
      </c>
      <c r="D297" s="97"/>
      <c r="E297" s="97"/>
      <c r="F297" s="97"/>
      <c r="G297" s="97"/>
      <c r="H297" s="97"/>
      <c r="I297" s="97"/>
    </row>
    <row r="298" spans="1:10" x14ac:dyDescent="0.2">
      <c r="A298" s="234" t="s">
        <v>958</v>
      </c>
      <c r="B298" s="98" t="s">
        <v>957</v>
      </c>
      <c r="C298" s="238">
        <v>1</v>
      </c>
      <c r="D298" s="101"/>
      <c r="E298" s="101"/>
      <c r="F298" s="87"/>
      <c r="G298" s="101"/>
      <c r="H298" s="101"/>
      <c r="I298" s="101"/>
    </row>
    <row r="299" spans="1:10" x14ac:dyDescent="0.2">
      <c r="A299" s="97" t="s">
        <v>306</v>
      </c>
      <c r="B299" s="98" t="s">
        <v>307</v>
      </c>
      <c r="C299" s="99">
        <v>0.8</v>
      </c>
      <c r="D299" s="97"/>
      <c r="E299" s="97"/>
      <c r="F299" s="97"/>
      <c r="G299" s="97"/>
      <c r="H299" s="97"/>
      <c r="I299" s="97"/>
    </row>
    <row r="300" spans="1:10" ht="12.75" customHeight="1" x14ac:dyDescent="0.2">
      <c r="A300" s="234" t="s">
        <v>1095</v>
      </c>
      <c r="B300" s="98" t="s">
        <v>308</v>
      </c>
      <c r="C300" s="235">
        <v>1</v>
      </c>
      <c r="D300" s="235"/>
      <c r="E300" s="87"/>
      <c r="F300" s="87"/>
      <c r="G300" s="101"/>
      <c r="H300" s="101"/>
      <c r="I300" s="101"/>
      <c r="J300" s="84" t="s">
        <v>702</v>
      </c>
    </row>
    <row r="301" spans="1:10" x14ac:dyDescent="0.2">
      <c r="A301" s="234" t="s">
        <v>309</v>
      </c>
      <c r="B301" s="98" t="s">
        <v>310</v>
      </c>
      <c r="C301" s="235">
        <v>1</v>
      </c>
      <c r="D301" s="235"/>
      <c r="E301" s="87"/>
      <c r="F301" s="87"/>
      <c r="G301" s="101"/>
      <c r="H301" s="101"/>
      <c r="I301" s="101"/>
    </row>
    <row r="302" spans="1:10" x14ac:dyDescent="0.2">
      <c r="A302" s="97" t="s">
        <v>311</v>
      </c>
      <c r="B302" s="98" t="s">
        <v>312</v>
      </c>
      <c r="C302" s="99">
        <v>1</v>
      </c>
      <c r="D302" s="97"/>
      <c r="E302" s="97"/>
      <c r="F302" s="97"/>
      <c r="G302" s="97"/>
      <c r="H302" s="97"/>
      <c r="I302" s="97"/>
    </row>
    <row r="303" spans="1:10" x14ac:dyDescent="0.2">
      <c r="A303" s="234" t="s">
        <v>1096</v>
      </c>
      <c r="B303" s="98" t="s">
        <v>313</v>
      </c>
      <c r="C303" s="236">
        <v>0.55000000000000004</v>
      </c>
      <c r="D303" s="235"/>
      <c r="E303" s="87"/>
      <c r="F303" s="87"/>
      <c r="G303" s="101"/>
      <c r="H303" s="101"/>
      <c r="I303" s="101"/>
    </row>
    <row r="304" spans="1:10" x14ac:dyDescent="0.2">
      <c r="A304" s="234" t="s">
        <v>1097</v>
      </c>
      <c r="B304" s="98" t="s">
        <v>314</v>
      </c>
      <c r="C304" s="235">
        <v>1</v>
      </c>
      <c r="D304" s="87"/>
      <c r="E304" s="87"/>
      <c r="F304" s="87"/>
      <c r="G304" s="101"/>
      <c r="H304" s="101"/>
      <c r="I304" s="101"/>
    </row>
    <row r="305" spans="1:10" x14ac:dyDescent="0.2">
      <c r="A305" s="97" t="s">
        <v>315</v>
      </c>
      <c r="B305" s="98" t="s">
        <v>316</v>
      </c>
      <c r="C305" s="99">
        <v>1</v>
      </c>
      <c r="D305" s="97"/>
      <c r="E305" s="97"/>
      <c r="F305" s="97"/>
      <c r="G305" s="97"/>
      <c r="H305" s="97"/>
      <c r="I305" s="97"/>
    </row>
    <row r="306" spans="1:10" x14ac:dyDescent="0.2">
      <c r="A306" s="97" t="s">
        <v>1098</v>
      </c>
      <c r="B306" s="98" t="s">
        <v>1099</v>
      </c>
      <c r="C306" s="99">
        <v>0.8</v>
      </c>
      <c r="D306" s="97"/>
      <c r="E306" s="97"/>
      <c r="F306" s="97"/>
      <c r="G306" s="97"/>
      <c r="H306" s="97"/>
      <c r="I306" s="97"/>
    </row>
    <row r="307" spans="1:10" x14ac:dyDescent="0.2">
      <c r="A307" s="97" t="s">
        <v>1100</v>
      </c>
      <c r="B307" s="98" t="s">
        <v>1101</v>
      </c>
      <c r="C307" s="99">
        <v>0.5</v>
      </c>
      <c r="D307" s="97"/>
      <c r="E307" s="97"/>
      <c r="F307" s="97"/>
      <c r="G307" s="97"/>
      <c r="H307" s="97"/>
      <c r="I307" s="97"/>
      <c r="J307" s="84" t="s">
        <v>702</v>
      </c>
    </row>
    <row r="308" spans="1:10" x14ac:dyDescent="0.2">
      <c r="A308" s="97" t="s">
        <v>317</v>
      </c>
      <c r="B308" s="98" t="s">
        <v>318</v>
      </c>
      <c r="C308" s="99">
        <v>1</v>
      </c>
      <c r="D308" s="97"/>
      <c r="E308" s="97"/>
      <c r="F308" s="97"/>
      <c r="G308" s="97"/>
      <c r="H308" s="97"/>
      <c r="I308" s="97"/>
    </row>
    <row r="309" spans="1:10" x14ac:dyDescent="0.2">
      <c r="A309" s="97" t="s">
        <v>319</v>
      </c>
      <c r="B309" s="98" t="s">
        <v>320</v>
      </c>
      <c r="C309" s="99">
        <v>1</v>
      </c>
      <c r="D309" s="97"/>
      <c r="E309" s="97"/>
      <c r="F309" s="97"/>
      <c r="G309" s="97"/>
      <c r="H309" s="97"/>
      <c r="I309" s="97"/>
    </row>
    <row r="310" spans="1:10" x14ac:dyDescent="0.2">
      <c r="A310" s="97" t="s">
        <v>1102</v>
      </c>
      <c r="B310" s="98" t="s">
        <v>1103</v>
      </c>
      <c r="C310" s="99">
        <v>0.8</v>
      </c>
      <c r="D310" s="97"/>
      <c r="E310" s="97"/>
      <c r="F310" s="97"/>
      <c r="G310" s="97"/>
      <c r="H310" s="97"/>
      <c r="I310" s="97"/>
    </row>
    <row r="311" spans="1:10" x14ac:dyDescent="0.2">
      <c r="A311" s="234" t="s">
        <v>1104</v>
      </c>
      <c r="B311" s="98" t="s">
        <v>321</v>
      </c>
      <c r="C311" s="235">
        <v>1</v>
      </c>
      <c r="D311" s="87"/>
      <c r="E311" s="87"/>
      <c r="F311" s="101"/>
      <c r="G311" s="101"/>
      <c r="H311" s="101"/>
      <c r="I311" s="101"/>
    </row>
    <row r="312" spans="1:10" x14ac:dyDescent="0.2">
      <c r="A312" s="234" t="s">
        <v>1105</v>
      </c>
      <c r="B312" s="98" t="s">
        <v>322</v>
      </c>
      <c r="C312" s="235">
        <v>1</v>
      </c>
      <c r="D312" s="87"/>
      <c r="E312" s="87"/>
      <c r="F312" s="101"/>
      <c r="G312" s="101"/>
      <c r="H312" s="101"/>
      <c r="I312" s="101"/>
    </row>
    <row r="313" spans="1:10" x14ac:dyDescent="0.2">
      <c r="A313" s="234" t="s">
        <v>323</v>
      </c>
      <c r="B313" s="98" t="s">
        <v>324</v>
      </c>
      <c r="C313" s="236">
        <v>1</v>
      </c>
      <c r="D313" s="235"/>
      <c r="E313" s="87"/>
      <c r="F313" s="87"/>
      <c r="G313" s="101"/>
      <c r="H313" s="101"/>
      <c r="I313" s="101"/>
    </row>
    <row r="314" spans="1:10" x14ac:dyDescent="0.2">
      <c r="A314" s="234" t="s">
        <v>1106</v>
      </c>
      <c r="B314" s="98" t="s">
        <v>325</v>
      </c>
      <c r="C314" s="235">
        <v>1</v>
      </c>
      <c r="D314" s="235"/>
      <c r="E314" s="87"/>
      <c r="F314" s="87"/>
      <c r="G314" s="101"/>
      <c r="H314" s="101"/>
      <c r="I314" s="101"/>
    </row>
    <row r="315" spans="1:10" x14ac:dyDescent="0.2">
      <c r="A315" s="234" t="s">
        <v>1107</v>
      </c>
      <c r="B315" s="98" t="s">
        <v>326</v>
      </c>
      <c r="C315" s="235">
        <v>1</v>
      </c>
      <c r="D315" s="235"/>
      <c r="E315" s="87"/>
      <c r="F315" s="87"/>
      <c r="G315" s="87"/>
      <c r="H315" s="101"/>
      <c r="I315" s="101"/>
    </row>
    <row r="316" spans="1:10" x14ac:dyDescent="0.2">
      <c r="A316" s="234" t="s">
        <v>1108</v>
      </c>
      <c r="B316" s="98" t="s">
        <v>327</v>
      </c>
      <c r="C316" s="235">
        <v>1</v>
      </c>
      <c r="D316" s="235"/>
      <c r="E316" s="87"/>
      <c r="F316" s="87"/>
      <c r="G316" s="101"/>
      <c r="H316" s="101"/>
      <c r="I316" s="101"/>
    </row>
    <row r="317" spans="1:10" x14ac:dyDescent="0.2">
      <c r="A317" s="234" t="s">
        <v>1109</v>
      </c>
      <c r="B317" s="98" t="s">
        <v>328</v>
      </c>
      <c r="C317" s="235">
        <v>1</v>
      </c>
      <c r="D317" s="235"/>
      <c r="E317" s="87"/>
      <c r="F317" s="87"/>
      <c r="G317" s="87"/>
      <c r="H317" s="101"/>
      <c r="I317" s="101"/>
    </row>
    <row r="318" spans="1:10" x14ac:dyDescent="0.2">
      <c r="A318" s="234" t="s">
        <v>1110</v>
      </c>
      <c r="B318" s="98" t="s">
        <v>329</v>
      </c>
      <c r="C318" s="236">
        <v>0.8</v>
      </c>
      <c r="D318" s="235"/>
      <c r="E318" s="101"/>
      <c r="F318" s="136"/>
      <c r="G318" s="87"/>
      <c r="H318" s="87"/>
      <c r="I318" s="101"/>
    </row>
    <row r="319" spans="1:10" x14ac:dyDescent="0.2">
      <c r="A319" s="234" t="s">
        <v>330</v>
      </c>
      <c r="B319" s="98" t="s">
        <v>331</v>
      </c>
      <c r="C319" s="235">
        <v>1</v>
      </c>
      <c r="D319" s="235"/>
      <c r="E319" s="87"/>
      <c r="F319" s="87"/>
      <c r="G319" s="101"/>
      <c r="H319" s="101"/>
      <c r="I319" s="101"/>
    </row>
    <row r="320" spans="1:10" x14ac:dyDescent="0.2">
      <c r="A320" s="234" t="s">
        <v>1111</v>
      </c>
      <c r="B320" s="98" t="s">
        <v>661</v>
      </c>
      <c r="C320" s="236">
        <v>0.5</v>
      </c>
      <c r="D320" s="235"/>
      <c r="E320" s="101"/>
      <c r="F320" s="101"/>
      <c r="G320" s="101"/>
      <c r="H320" s="101"/>
      <c r="I320" s="101"/>
    </row>
    <row r="321" spans="1:10" x14ac:dyDescent="0.2">
      <c r="A321" s="234" t="s">
        <v>1112</v>
      </c>
      <c r="B321" s="98" t="s">
        <v>662</v>
      </c>
      <c r="C321" s="235">
        <v>1</v>
      </c>
      <c r="D321" s="101"/>
      <c r="E321" s="101"/>
      <c r="F321" s="239"/>
      <c r="G321" s="101"/>
      <c r="H321" s="101"/>
      <c r="I321" s="101"/>
    </row>
    <row r="322" spans="1:10" x14ac:dyDescent="0.2">
      <c r="A322" s="234" t="s">
        <v>660</v>
      </c>
      <c r="B322" s="98" t="s">
        <v>663</v>
      </c>
      <c r="C322" s="235">
        <v>1</v>
      </c>
      <c r="D322" s="235"/>
      <c r="E322" s="87"/>
      <c r="F322" s="101"/>
      <c r="G322" s="101"/>
      <c r="H322" s="101"/>
      <c r="I322" s="101"/>
    </row>
    <row r="323" spans="1:10" ht="14.25" customHeight="1" x14ac:dyDescent="0.2">
      <c r="A323" s="97" t="s">
        <v>714</v>
      </c>
      <c r="B323" s="98" t="s">
        <v>715</v>
      </c>
      <c r="C323" s="99">
        <v>1</v>
      </c>
      <c r="D323" s="97"/>
      <c r="E323" s="97"/>
      <c r="F323" s="97"/>
      <c r="G323" s="97"/>
      <c r="H323" s="97"/>
      <c r="I323" s="97"/>
    </row>
    <row r="324" spans="1:10" x14ac:dyDescent="0.2">
      <c r="A324" s="234" t="s">
        <v>716</v>
      </c>
      <c r="B324" s="98" t="s">
        <v>717</v>
      </c>
      <c r="C324" s="235">
        <v>1</v>
      </c>
      <c r="D324" s="235"/>
      <c r="E324" s="87"/>
      <c r="F324" s="101"/>
      <c r="G324" s="101"/>
      <c r="H324" s="101"/>
      <c r="I324" s="101"/>
    </row>
    <row r="325" spans="1:10" x14ac:dyDescent="0.2">
      <c r="A325" s="234" t="s">
        <v>718</v>
      </c>
      <c r="B325" s="98" t="s">
        <v>719</v>
      </c>
      <c r="C325" s="236">
        <v>0.6</v>
      </c>
      <c r="D325" s="87"/>
      <c r="E325" s="87"/>
      <c r="F325" s="87"/>
      <c r="G325" s="101"/>
      <c r="H325" s="101"/>
      <c r="I325" s="101"/>
      <c r="J325" s="142" t="s">
        <v>702</v>
      </c>
    </row>
    <row r="326" spans="1:10" x14ac:dyDescent="0.2">
      <c r="A326" s="97" t="s">
        <v>1113</v>
      </c>
      <c r="B326" s="98" t="s">
        <v>1114</v>
      </c>
      <c r="C326" s="92">
        <f>1*(7/12)</f>
        <v>0.58333333333333337</v>
      </c>
      <c r="D326" s="97"/>
      <c r="E326" s="97"/>
      <c r="F326" s="97"/>
      <c r="G326" s="97"/>
      <c r="H326" s="97"/>
      <c r="I326" s="101"/>
    </row>
    <row r="327" spans="1:10" x14ac:dyDescent="0.2">
      <c r="A327" s="234" t="s">
        <v>1115</v>
      </c>
      <c r="B327" s="119" t="s">
        <v>837</v>
      </c>
      <c r="C327" s="235">
        <v>1</v>
      </c>
      <c r="D327" s="235"/>
      <c r="E327" s="87"/>
      <c r="F327" s="87"/>
      <c r="G327" s="101"/>
      <c r="H327" s="101"/>
      <c r="I327" s="101"/>
    </row>
    <row r="328" spans="1:10" x14ac:dyDescent="0.2">
      <c r="A328" s="234" t="s">
        <v>1116</v>
      </c>
      <c r="B328" s="119" t="s">
        <v>838</v>
      </c>
      <c r="C328" s="235">
        <v>1</v>
      </c>
      <c r="D328" s="235"/>
      <c r="E328" s="87"/>
      <c r="F328" s="87"/>
      <c r="G328" s="101"/>
      <c r="H328" s="101"/>
      <c r="I328" s="101"/>
    </row>
    <row r="329" spans="1:10" ht="13.5" customHeight="1" x14ac:dyDescent="0.2">
      <c r="A329" s="234" t="s">
        <v>1117</v>
      </c>
      <c r="B329" s="119" t="s">
        <v>839</v>
      </c>
      <c r="C329" s="235">
        <v>1</v>
      </c>
      <c r="D329" s="235"/>
      <c r="E329" s="87"/>
      <c r="F329" s="87"/>
      <c r="G329" s="101"/>
      <c r="H329" s="101"/>
      <c r="I329" s="101"/>
    </row>
    <row r="330" spans="1:10" x14ac:dyDescent="0.2">
      <c r="A330" s="234" t="s">
        <v>1118</v>
      </c>
      <c r="B330" s="119" t="s">
        <v>1119</v>
      </c>
      <c r="C330" s="235">
        <v>1</v>
      </c>
      <c r="D330" s="101"/>
      <c r="E330" s="87"/>
      <c r="F330" s="87"/>
      <c r="G330" s="101"/>
      <c r="H330" s="101"/>
      <c r="I330" s="101"/>
    </row>
    <row r="331" spans="1:10" x14ac:dyDescent="0.2">
      <c r="A331" s="97" t="s">
        <v>1120</v>
      </c>
      <c r="B331" s="119" t="s">
        <v>1121</v>
      </c>
      <c r="C331" s="235">
        <v>1</v>
      </c>
      <c r="D331" s="101"/>
      <c r="E331" s="87"/>
      <c r="F331" s="87"/>
      <c r="G331" s="101"/>
      <c r="H331" s="101"/>
      <c r="I331" s="101"/>
    </row>
    <row r="332" spans="1:10" x14ac:dyDescent="0.2">
      <c r="A332" s="97" t="s">
        <v>1122</v>
      </c>
      <c r="B332" s="119" t="s">
        <v>1123</v>
      </c>
      <c r="C332" s="235">
        <v>1</v>
      </c>
      <c r="D332" s="235"/>
      <c r="E332" s="101"/>
      <c r="F332" s="87"/>
      <c r="G332" s="101"/>
      <c r="H332" s="101"/>
      <c r="I332" s="101"/>
    </row>
    <row r="333" spans="1:10" x14ac:dyDescent="0.2">
      <c r="A333" s="97" t="s">
        <v>1124</v>
      </c>
      <c r="B333" s="119" t="s">
        <v>1125</v>
      </c>
      <c r="C333" s="235">
        <v>1</v>
      </c>
      <c r="D333" s="101"/>
      <c r="E333" s="87"/>
      <c r="F333" s="87"/>
      <c r="G333" s="101"/>
      <c r="H333" s="101"/>
      <c r="I333" s="101"/>
    </row>
    <row r="334" spans="1:10" ht="13.5" customHeight="1" thickBot="1" x14ac:dyDescent="0.25">
      <c r="A334" s="69" t="s">
        <v>1126</v>
      </c>
      <c r="B334" s="223"/>
      <c r="C334" s="240"/>
      <c r="D334" s="225">
        <f t="shared" ref="D334:I334" si="10">SUM(D267:D333)</f>
        <v>0</v>
      </c>
      <c r="E334" s="225">
        <f t="shared" si="10"/>
        <v>0</v>
      </c>
      <c r="F334" s="225">
        <f t="shared" si="10"/>
        <v>0</v>
      </c>
      <c r="G334" s="225">
        <f t="shared" si="10"/>
        <v>0</v>
      </c>
      <c r="H334" s="225">
        <f t="shared" si="10"/>
        <v>0</v>
      </c>
      <c r="I334" s="72">
        <f t="shared" si="10"/>
        <v>0</v>
      </c>
    </row>
    <row r="335" spans="1:10" x14ac:dyDescent="0.2">
      <c r="A335" s="84"/>
      <c r="B335" s="84"/>
      <c r="C335" s="84"/>
      <c r="D335" s="84"/>
      <c r="E335" s="84"/>
      <c r="F335" s="84"/>
      <c r="G335" s="84"/>
      <c r="H335" s="84"/>
      <c r="I335" s="84"/>
    </row>
    <row r="336" spans="1:10" ht="13.5" thickBot="1" x14ac:dyDescent="0.25">
      <c r="A336" s="84"/>
      <c r="B336" s="84"/>
      <c r="C336" s="84"/>
      <c r="D336" s="84"/>
      <c r="E336" s="84"/>
      <c r="F336" s="84"/>
      <c r="G336" s="84"/>
      <c r="H336" s="84"/>
      <c r="I336" s="84"/>
    </row>
    <row r="337" spans="1:9" ht="13.5" thickBot="1" x14ac:dyDescent="0.25">
      <c r="A337" s="54" t="s">
        <v>28</v>
      </c>
      <c r="B337" s="84"/>
      <c r="C337" s="48"/>
      <c r="D337" s="48"/>
      <c r="E337" s="47"/>
      <c r="F337" s="84"/>
      <c r="G337" s="63" t="s">
        <v>56</v>
      </c>
      <c r="H337" s="64"/>
      <c r="I337" s="65">
        <f>SUM(D344:I344)</f>
        <v>0</v>
      </c>
    </row>
    <row r="338" spans="1:9" ht="13.5" customHeight="1" x14ac:dyDescent="0.2">
      <c r="A338" s="84"/>
      <c r="B338" s="133"/>
      <c r="C338" s="134"/>
      <c r="D338" s="134"/>
      <c r="E338" s="135"/>
      <c r="F338" s="84"/>
      <c r="G338" s="84"/>
      <c r="H338" s="84"/>
      <c r="I338" s="84"/>
    </row>
    <row r="339" spans="1:9" ht="13.5" customHeight="1" x14ac:dyDescent="0.2">
      <c r="A339" s="67" t="s">
        <v>82</v>
      </c>
      <c r="B339" s="67" t="s">
        <v>83</v>
      </c>
      <c r="C339" s="67" t="s">
        <v>172</v>
      </c>
      <c r="D339" s="57" t="s">
        <v>173</v>
      </c>
      <c r="E339" s="57" t="s">
        <v>1022</v>
      </c>
      <c r="F339" s="58" t="s">
        <v>86</v>
      </c>
      <c r="G339" s="57" t="s">
        <v>87</v>
      </c>
      <c r="H339" s="57" t="s">
        <v>88</v>
      </c>
      <c r="I339" s="57" t="s">
        <v>89</v>
      </c>
    </row>
    <row r="340" spans="1:9" ht="13.5" customHeight="1" x14ac:dyDescent="0.2">
      <c r="A340" s="97" t="s">
        <v>332</v>
      </c>
      <c r="B340" s="98" t="s">
        <v>333</v>
      </c>
      <c r="C340" s="99">
        <v>1</v>
      </c>
      <c r="D340" s="99"/>
      <c r="E340" s="87"/>
      <c r="F340" s="87"/>
      <c r="G340" s="101"/>
      <c r="H340" s="101"/>
      <c r="I340" s="92"/>
    </row>
    <row r="341" spans="1:9" x14ac:dyDescent="0.2">
      <c r="A341" s="97" t="s">
        <v>334</v>
      </c>
      <c r="B341" s="98" t="s">
        <v>335</v>
      </c>
      <c r="C341" s="99">
        <v>1</v>
      </c>
      <c r="D341" s="118"/>
      <c r="E341" s="87"/>
      <c r="F341" s="87"/>
      <c r="G341" s="90"/>
      <c r="H341" s="92"/>
      <c r="I341" s="101"/>
    </row>
    <row r="342" spans="1:9" x14ac:dyDescent="0.2">
      <c r="A342" s="116" t="s">
        <v>877</v>
      </c>
      <c r="B342" s="110" t="s">
        <v>878</v>
      </c>
      <c r="C342" s="86">
        <v>1</v>
      </c>
      <c r="D342" s="126"/>
      <c r="E342" s="90"/>
      <c r="F342" s="92"/>
      <c r="G342" s="90"/>
      <c r="H342" s="90"/>
      <c r="I342" s="90"/>
    </row>
    <row r="343" spans="1:9" x14ac:dyDescent="0.2">
      <c r="A343" s="172" t="s">
        <v>1127</v>
      </c>
      <c r="B343" s="231" t="s">
        <v>1128</v>
      </c>
      <c r="C343" s="99">
        <v>1</v>
      </c>
      <c r="D343" s="92"/>
      <c r="E343" s="101"/>
      <c r="F343" s="87"/>
      <c r="G343" s="101"/>
      <c r="H343" s="101"/>
      <c r="I343" s="101"/>
    </row>
    <row r="344" spans="1:9" ht="13.5" thickBot="1" x14ac:dyDescent="0.25">
      <c r="A344" s="69" t="s">
        <v>56</v>
      </c>
      <c r="B344" s="223"/>
      <c r="C344" s="224"/>
      <c r="D344" s="241">
        <f>SUM(D340:D343)</f>
        <v>0</v>
      </c>
      <c r="E344" s="241">
        <f t="shared" ref="E344:I344" si="11">SUM(E340:E343)</f>
        <v>0</v>
      </c>
      <c r="F344" s="241">
        <f t="shared" si="11"/>
        <v>0</v>
      </c>
      <c r="G344" s="241">
        <f t="shared" si="11"/>
        <v>0</v>
      </c>
      <c r="H344" s="241">
        <f t="shared" si="11"/>
        <v>0</v>
      </c>
      <c r="I344" s="241">
        <f t="shared" si="11"/>
        <v>0</v>
      </c>
    </row>
    <row r="345" spans="1:9" ht="13.5" thickBot="1" x14ac:dyDescent="0.25">
      <c r="A345" s="242"/>
      <c r="B345" s="242"/>
      <c r="C345" s="242"/>
      <c r="D345" s="242"/>
      <c r="E345" s="242"/>
      <c r="F345" s="242"/>
      <c r="G345" s="242"/>
      <c r="H345" s="242"/>
      <c r="I345" s="242"/>
    </row>
    <row r="346" spans="1:9" ht="13.5" thickBot="1" x14ac:dyDescent="0.25">
      <c r="A346" s="54" t="s">
        <v>29</v>
      </c>
      <c r="B346" s="84"/>
      <c r="C346" s="48"/>
      <c r="D346" s="48"/>
      <c r="E346" s="47"/>
      <c r="F346" s="84"/>
      <c r="G346" s="63" t="s">
        <v>56</v>
      </c>
      <c r="H346" s="64"/>
      <c r="I346" s="65">
        <f>SUM(D350:I350)</f>
        <v>0</v>
      </c>
    </row>
    <row r="347" spans="1:9" x14ac:dyDescent="0.2">
      <c r="A347" s="84"/>
      <c r="B347" s="133"/>
      <c r="C347" s="134"/>
      <c r="D347" s="134"/>
      <c r="E347" s="135"/>
      <c r="F347" s="84"/>
      <c r="G347" s="84"/>
      <c r="H347" s="84"/>
      <c r="I347" s="84"/>
    </row>
    <row r="348" spans="1:9" ht="25.5" x14ac:dyDescent="0.2">
      <c r="A348" s="67" t="s">
        <v>82</v>
      </c>
      <c r="B348" s="67" t="s">
        <v>83</v>
      </c>
      <c r="C348" s="67" t="s">
        <v>172</v>
      </c>
      <c r="D348" s="57" t="s">
        <v>173</v>
      </c>
      <c r="E348" s="57" t="s">
        <v>1022</v>
      </c>
      <c r="F348" s="58" t="s">
        <v>86</v>
      </c>
      <c r="G348" s="57" t="s">
        <v>87</v>
      </c>
      <c r="H348" s="57" t="s">
        <v>88</v>
      </c>
      <c r="I348" s="57" t="s">
        <v>89</v>
      </c>
    </row>
    <row r="349" spans="1:9" ht="13.5" thickBot="1" x14ac:dyDescent="0.25">
      <c r="A349" s="147" t="s">
        <v>879</v>
      </c>
      <c r="B349" s="98"/>
      <c r="C349" s="99"/>
      <c r="D349" s="99"/>
      <c r="E349" s="105"/>
      <c r="F349" s="87"/>
      <c r="G349" s="87"/>
      <c r="H349" s="94"/>
      <c r="I349" s="94"/>
    </row>
    <row r="350" spans="1:9" ht="13.5" thickBot="1" x14ac:dyDescent="0.25">
      <c r="A350" s="59" t="s">
        <v>56</v>
      </c>
      <c r="B350" s="137"/>
      <c r="C350" s="138"/>
      <c r="D350" s="62">
        <f>SUM(D349:D349)</f>
        <v>0</v>
      </c>
      <c r="E350" s="62">
        <f>SUM(E349:E349)</f>
        <v>0</v>
      </c>
      <c r="F350" s="74">
        <f>SUM(F349)</f>
        <v>0</v>
      </c>
      <c r="G350" s="68">
        <f>SUM(G349)</f>
        <v>0</v>
      </c>
      <c r="H350" s="68">
        <f>SUM(H349)</f>
        <v>0</v>
      </c>
      <c r="I350" s="68">
        <f>SUM(I349)</f>
        <v>0</v>
      </c>
    </row>
    <row r="351" spans="1:9" ht="13.5" thickBot="1" x14ac:dyDescent="0.25">
      <c r="A351" s="84"/>
      <c r="B351" s="84"/>
      <c r="C351" s="84"/>
      <c r="D351" s="84"/>
      <c r="E351" s="84"/>
      <c r="F351" s="84"/>
      <c r="G351" s="84"/>
      <c r="H351" s="84"/>
      <c r="I351" s="84"/>
    </row>
    <row r="352" spans="1:9" ht="13.5" thickBot="1" x14ac:dyDescent="0.25">
      <c r="A352" s="54" t="s">
        <v>30</v>
      </c>
      <c r="B352" s="84"/>
      <c r="C352" s="48"/>
      <c r="D352" s="48"/>
      <c r="E352" s="47"/>
      <c r="F352" s="84"/>
      <c r="G352" s="63" t="s">
        <v>56</v>
      </c>
      <c r="H352" s="64"/>
      <c r="I352" s="65">
        <f>SUM(D363:I363)</f>
        <v>0</v>
      </c>
    </row>
    <row r="353" spans="1:9" x14ac:dyDescent="0.2">
      <c r="A353" s="84"/>
      <c r="B353" s="133"/>
      <c r="C353" s="134"/>
      <c r="D353" s="134"/>
      <c r="E353" s="135"/>
      <c r="F353" s="84"/>
      <c r="G353" s="84"/>
      <c r="H353" s="84"/>
      <c r="I353" s="84"/>
    </row>
    <row r="354" spans="1:9" ht="25.5" x14ac:dyDescent="0.2">
      <c r="A354" s="67" t="s">
        <v>82</v>
      </c>
      <c r="B354" s="67" t="s">
        <v>83</v>
      </c>
      <c r="C354" s="67" t="s">
        <v>172</v>
      </c>
      <c r="D354" s="57" t="s">
        <v>173</v>
      </c>
      <c r="E354" s="57" t="s">
        <v>1022</v>
      </c>
      <c r="F354" s="58" t="s">
        <v>86</v>
      </c>
      <c r="G354" s="57" t="s">
        <v>87</v>
      </c>
      <c r="H354" s="57" t="s">
        <v>88</v>
      </c>
      <c r="I354" s="57" t="s">
        <v>89</v>
      </c>
    </row>
    <row r="355" spans="1:9" x14ac:dyDescent="0.2">
      <c r="A355" s="116" t="s">
        <v>1129</v>
      </c>
      <c r="B355" s="110" t="s">
        <v>1130</v>
      </c>
      <c r="C355" s="86">
        <v>0.5</v>
      </c>
      <c r="D355" s="86"/>
      <c r="E355" s="93"/>
      <c r="F355" s="89"/>
      <c r="G355" s="116"/>
      <c r="H355" s="116"/>
      <c r="I355" s="94"/>
    </row>
    <row r="356" spans="1:9" x14ac:dyDescent="0.2">
      <c r="A356" s="116" t="s">
        <v>664</v>
      </c>
      <c r="B356" s="110" t="s">
        <v>665</v>
      </c>
      <c r="C356" s="86">
        <v>0.8</v>
      </c>
      <c r="D356" s="86"/>
      <c r="E356" s="113"/>
      <c r="F356" s="90"/>
      <c r="G356" s="90"/>
      <c r="H356" s="116"/>
      <c r="I356" s="92"/>
    </row>
    <row r="357" spans="1:9" x14ac:dyDescent="0.2">
      <c r="A357" s="243" t="s">
        <v>720</v>
      </c>
      <c r="B357" s="244">
        <v>501921</v>
      </c>
      <c r="C357" s="245">
        <v>0.8</v>
      </c>
      <c r="D357" s="245"/>
      <c r="E357" s="246"/>
      <c r="F357" s="246"/>
      <c r="G357" s="243"/>
      <c r="H357" s="197"/>
      <c r="I357" s="197"/>
    </row>
    <row r="358" spans="1:9" x14ac:dyDescent="0.2">
      <c r="A358" s="116" t="s">
        <v>721</v>
      </c>
      <c r="B358" s="110">
        <v>505308</v>
      </c>
      <c r="C358" s="86">
        <v>1</v>
      </c>
      <c r="D358" s="86"/>
      <c r="E358" s="120"/>
      <c r="F358" s="90"/>
      <c r="G358" s="90"/>
      <c r="H358" s="116"/>
      <c r="I358" s="92"/>
    </row>
    <row r="359" spans="1:9" x14ac:dyDescent="0.2">
      <c r="A359" s="97" t="s">
        <v>336</v>
      </c>
      <c r="B359" s="98" t="s">
        <v>337</v>
      </c>
      <c r="C359" s="99">
        <v>1</v>
      </c>
      <c r="D359" s="99"/>
      <c r="E359" s="87"/>
      <c r="F359" s="101"/>
      <c r="G359" s="128"/>
      <c r="H359" s="113"/>
      <c r="I359" s="92"/>
    </row>
    <row r="360" spans="1:9" ht="13.5" thickBot="1" x14ac:dyDescent="0.25">
      <c r="A360" s="247" t="s">
        <v>880</v>
      </c>
      <c r="B360" s="248" t="s">
        <v>1131</v>
      </c>
      <c r="C360" s="249">
        <v>1</v>
      </c>
      <c r="D360" s="250"/>
      <c r="E360" s="251"/>
      <c r="F360" s="252"/>
      <c r="G360" s="197"/>
      <c r="H360" s="197"/>
      <c r="I360" s="253"/>
    </row>
    <row r="361" spans="1:9" x14ac:dyDescent="0.2">
      <c r="A361" s="254" t="s">
        <v>881</v>
      </c>
      <c r="B361" s="255" t="s">
        <v>882</v>
      </c>
      <c r="C361" s="86">
        <v>0.7077</v>
      </c>
      <c r="D361" s="92"/>
      <c r="E361" s="93"/>
      <c r="F361" s="90"/>
      <c r="G361" s="129"/>
      <c r="H361" s="120"/>
      <c r="I361" s="90"/>
    </row>
    <row r="362" spans="1:9" x14ac:dyDescent="0.2">
      <c r="A362" s="172" t="s">
        <v>1132</v>
      </c>
      <c r="B362" s="231"/>
      <c r="C362" s="99"/>
      <c r="D362" s="92"/>
      <c r="E362" s="87"/>
      <c r="F362" s="101"/>
      <c r="G362" s="128"/>
      <c r="H362" s="113"/>
      <c r="I362" s="101"/>
    </row>
    <row r="363" spans="1:9" ht="13.5" thickBot="1" x14ac:dyDescent="0.25">
      <c r="A363" s="69" t="s">
        <v>56</v>
      </c>
      <c r="B363" s="256"/>
      <c r="C363" s="224"/>
      <c r="D363" s="153">
        <f>SUM(D355:D362)</f>
        <v>0</v>
      </c>
      <c r="E363" s="153">
        <f t="shared" ref="E363:I363" si="12">SUM(E355:E362)</f>
        <v>0</v>
      </c>
      <c r="F363" s="153">
        <f t="shared" si="12"/>
        <v>0</v>
      </c>
      <c r="G363" s="153">
        <f t="shared" si="12"/>
        <v>0</v>
      </c>
      <c r="H363" s="153">
        <f t="shared" si="12"/>
        <v>0</v>
      </c>
      <c r="I363" s="153">
        <f t="shared" si="12"/>
        <v>0</v>
      </c>
    </row>
    <row r="364" spans="1:9" ht="13.5" thickBot="1" x14ac:dyDescent="0.25">
      <c r="A364" s="84"/>
      <c r="B364" s="84"/>
      <c r="C364" s="84"/>
      <c r="D364" s="84"/>
      <c r="E364" s="84"/>
      <c r="F364" s="84"/>
      <c r="G364" s="84"/>
      <c r="H364" s="84"/>
      <c r="I364" s="84"/>
    </row>
    <row r="365" spans="1:9" ht="13.5" thickBot="1" x14ac:dyDescent="0.25">
      <c r="A365" s="54" t="s">
        <v>31</v>
      </c>
      <c r="B365" s="43"/>
      <c r="C365" s="48"/>
      <c r="D365" s="48"/>
      <c r="E365" s="47"/>
      <c r="F365" s="84"/>
      <c r="G365" s="63" t="s">
        <v>56</v>
      </c>
      <c r="H365" s="64"/>
      <c r="I365" s="65">
        <f>SUM(D373:I373)</f>
        <v>0</v>
      </c>
    </row>
    <row r="366" spans="1:9" x14ac:dyDescent="0.2">
      <c r="A366" s="84"/>
      <c r="B366" s="133"/>
      <c r="C366" s="134"/>
      <c r="D366" s="134"/>
      <c r="E366" s="135"/>
      <c r="F366" s="84"/>
      <c r="G366" s="84"/>
      <c r="H366" s="84"/>
      <c r="I366" s="84"/>
    </row>
    <row r="367" spans="1:9" ht="25.5" x14ac:dyDescent="0.2">
      <c r="A367" s="75" t="s">
        <v>82</v>
      </c>
      <c r="B367" s="75" t="s">
        <v>83</v>
      </c>
      <c r="C367" s="75" t="s">
        <v>172</v>
      </c>
      <c r="D367" s="57" t="s">
        <v>173</v>
      </c>
      <c r="E367" s="57" t="s">
        <v>1022</v>
      </c>
      <c r="F367" s="58" t="s">
        <v>86</v>
      </c>
      <c r="G367" s="57" t="s">
        <v>87</v>
      </c>
      <c r="H367" s="57" t="s">
        <v>88</v>
      </c>
      <c r="I367" s="57" t="s">
        <v>89</v>
      </c>
    </row>
    <row r="368" spans="1:9" x14ac:dyDescent="0.2">
      <c r="A368" s="121" t="s">
        <v>338</v>
      </c>
      <c r="B368" s="121" t="s">
        <v>339</v>
      </c>
      <c r="C368" s="123">
        <v>1</v>
      </c>
      <c r="D368" s="118"/>
      <c r="E368" s="118"/>
      <c r="F368" s="124"/>
      <c r="G368" s="118"/>
      <c r="H368" s="118"/>
      <c r="I368" s="92"/>
    </row>
    <row r="369" spans="1:9" x14ac:dyDescent="0.2">
      <c r="A369" s="121" t="s">
        <v>340</v>
      </c>
      <c r="B369" s="131" t="s">
        <v>341</v>
      </c>
      <c r="C369" s="123">
        <v>1</v>
      </c>
      <c r="D369" s="90"/>
      <c r="E369" s="92"/>
      <c r="F369" s="90"/>
      <c r="G369" s="118"/>
      <c r="H369" s="118"/>
      <c r="I369" s="101"/>
    </row>
    <row r="370" spans="1:9" x14ac:dyDescent="0.2">
      <c r="A370" s="121" t="s">
        <v>342</v>
      </c>
      <c r="B370" s="121" t="s">
        <v>343</v>
      </c>
      <c r="C370" s="123">
        <v>1</v>
      </c>
      <c r="D370" s="114"/>
      <c r="E370" s="114"/>
      <c r="F370" s="124"/>
      <c r="G370" s="118"/>
      <c r="H370" s="118"/>
      <c r="I370" s="92"/>
    </row>
    <row r="371" spans="1:9" x14ac:dyDescent="0.2">
      <c r="A371" s="121" t="s">
        <v>1133</v>
      </c>
      <c r="B371" s="121" t="s">
        <v>1134</v>
      </c>
      <c r="C371" s="123">
        <v>1</v>
      </c>
      <c r="D371" s="114"/>
      <c r="E371" s="114"/>
      <c r="F371" s="125"/>
      <c r="G371" s="118"/>
      <c r="H371" s="126"/>
      <c r="I371" s="94"/>
    </row>
    <row r="372" spans="1:9" ht="13.5" thickBot="1" x14ac:dyDescent="0.25">
      <c r="A372" s="121" t="s">
        <v>1135</v>
      </c>
      <c r="B372" s="121" t="s">
        <v>1136</v>
      </c>
      <c r="C372" s="123">
        <v>1</v>
      </c>
      <c r="D372" s="257"/>
      <c r="E372" s="257"/>
      <c r="F372" s="125"/>
      <c r="G372" s="118"/>
      <c r="H372" s="126"/>
      <c r="I372" s="94"/>
    </row>
    <row r="373" spans="1:9" ht="13.5" thickBot="1" x14ac:dyDescent="0.25">
      <c r="A373" s="76" t="s">
        <v>56</v>
      </c>
      <c r="B373" s="258"/>
      <c r="C373" s="259"/>
      <c r="D373" s="77">
        <f>SUM(D368:D372)</f>
        <v>0</v>
      </c>
      <c r="E373" s="77">
        <f t="shared" ref="E373:I373" si="13">SUM(E368:E372)</f>
        <v>0</v>
      </c>
      <c r="F373" s="77">
        <f t="shared" si="13"/>
        <v>0</v>
      </c>
      <c r="G373" s="77">
        <f t="shared" si="13"/>
        <v>0</v>
      </c>
      <c r="H373" s="77">
        <f t="shared" si="13"/>
        <v>0</v>
      </c>
      <c r="I373" s="77">
        <f t="shared" si="13"/>
        <v>0</v>
      </c>
    </row>
    <row r="374" spans="1:9" ht="13.5" thickBot="1" x14ac:dyDescent="0.25">
      <c r="A374" s="84"/>
      <c r="B374" s="84"/>
      <c r="C374" s="84"/>
      <c r="D374" s="84"/>
      <c r="E374" s="84"/>
      <c r="F374" s="84"/>
      <c r="G374" s="84"/>
      <c r="H374" s="84"/>
      <c r="I374" s="84"/>
    </row>
    <row r="375" spans="1:9" ht="13.5" thickBot="1" x14ac:dyDescent="0.25">
      <c r="A375" s="54" t="s">
        <v>32</v>
      </c>
      <c r="B375" s="48"/>
      <c r="C375" s="48"/>
      <c r="D375" s="84"/>
      <c r="E375" s="47"/>
      <c r="F375" s="84"/>
      <c r="G375" s="63" t="s">
        <v>56</v>
      </c>
      <c r="H375" s="64"/>
      <c r="I375" s="65">
        <f>SUM(D381:I381)</f>
        <v>0</v>
      </c>
    </row>
    <row r="376" spans="1:9" x14ac:dyDescent="0.2">
      <c r="A376" s="84"/>
      <c r="B376" s="133"/>
      <c r="C376" s="134"/>
      <c r="D376" s="134"/>
      <c r="E376" s="135"/>
      <c r="F376" s="84"/>
      <c r="G376" s="84"/>
      <c r="H376" s="84"/>
      <c r="I376" s="84"/>
    </row>
    <row r="377" spans="1:9" ht="25.5" x14ac:dyDescent="0.2">
      <c r="A377" s="192" t="s">
        <v>82</v>
      </c>
      <c r="B377" s="192" t="s">
        <v>83</v>
      </c>
      <c r="C377" s="192" t="s">
        <v>172</v>
      </c>
      <c r="D377" s="193" t="s">
        <v>173</v>
      </c>
      <c r="E377" s="193" t="s">
        <v>1022</v>
      </c>
      <c r="F377" s="58" t="s">
        <v>86</v>
      </c>
      <c r="G377" s="193" t="s">
        <v>87</v>
      </c>
      <c r="H377" s="193" t="s">
        <v>88</v>
      </c>
      <c r="I377" s="193" t="s">
        <v>89</v>
      </c>
    </row>
    <row r="378" spans="1:9" x14ac:dyDescent="0.2">
      <c r="A378" s="97" t="s">
        <v>1137</v>
      </c>
      <c r="B378" s="98" t="s">
        <v>1138</v>
      </c>
      <c r="C378" s="99">
        <v>1</v>
      </c>
      <c r="D378" s="97"/>
      <c r="E378" s="97"/>
      <c r="F378" s="97"/>
      <c r="G378" s="97"/>
      <c r="H378" s="97"/>
      <c r="I378" s="97"/>
    </row>
    <row r="379" spans="1:9" x14ac:dyDescent="0.2">
      <c r="A379" s="97" t="s">
        <v>883</v>
      </c>
      <c r="B379" s="98" t="s">
        <v>656</v>
      </c>
      <c r="C379" s="99">
        <v>1</v>
      </c>
      <c r="D379" s="99"/>
      <c r="E379" s="235"/>
      <c r="F379" s="94"/>
      <c r="G379" s="94"/>
      <c r="H379" s="92"/>
      <c r="I379" s="94"/>
    </row>
    <row r="380" spans="1:9" ht="13.5" thickBot="1" x14ac:dyDescent="0.25">
      <c r="A380" s="260" t="s">
        <v>344</v>
      </c>
      <c r="B380" s="261" t="s">
        <v>345</v>
      </c>
      <c r="C380" s="262">
        <v>1</v>
      </c>
      <c r="D380" s="262"/>
      <c r="E380" s="263"/>
      <c r="F380" s="263"/>
      <c r="G380" s="228"/>
      <c r="H380" s="228"/>
      <c r="I380" s="92"/>
    </row>
    <row r="381" spans="1:9" ht="13.5" thickBot="1" x14ac:dyDescent="0.25">
      <c r="A381" s="59" t="s">
        <v>56</v>
      </c>
      <c r="B381" s="137"/>
      <c r="C381" s="264"/>
      <c r="D381" s="62">
        <f>SUM(D378:D380)</f>
        <v>0</v>
      </c>
      <c r="E381" s="62">
        <f t="shared" ref="E381:I381" si="14">SUM(E378:E380)</f>
        <v>0</v>
      </c>
      <c r="F381" s="62">
        <f t="shared" si="14"/>
        <v>0</v>
      </c>
      <c r="G381" s="62">
        <f t="shared" si="14"/>
        <v>0</v>
      </c>
      <c r="H381" s="62">
        <f t="shared" si="14"/>
        <v>0</v>
      </c>
      <c r="I381" s="62">
        <f t="shared" si="14"/>
        <v>0</v>
      </c>
    </row>
    <row r="382" spans="1:9" ht="13.5" thickBot="1" x14ac:dyDescent="0.25">
      <c r="A382" s="84"/>
      <c r="B382" s="84"/>
      <c r="C382" s="84"/>
      <c r="D382" s="84"/>
      <c r="E382" s="84"/>
      <c r="F382" s="84"/>
      <c r="G382" s="84"/>
      <c r="H382" s="84"/>
      <c r="I382" s="84"/>
    </row>
    <row r="383" spans="1:9" ht="13.5" thickBot="1" x14ac:dyDescent="0.25">
      <c r="A383" s="54" t="s">
        <v>33</v>
      </c>
      <c r="B383" s="84"/>
      <c r="C383" s="48"/>
      <c r="D383" s="48"/>
      <c r="E383" s="47"/>
      <c r="F383" s="84"/>
      <c r="G383" s="63" t="s">
        <v>56</v>
      </c>
      <c r="H383" s="64"/>
      <c r="I383" s="65">
        <f>SUM(D400:I400)</f>
        <v>0</v>
      </c>
    </row>
    <row r="384" spans="1:9" x14ac:dyDescent="0.2">
      <c r="A384" s="84"/>
      <c r="B384" s="133"/>
      <c r="C384" s="134"/>
      <c r="D384" s="134"/>
      <c r="E384" s="135"/>
      <c r="F384" s="84"/>
      <c r="G384" s="84"/>
      <c r="H384" s="84"/>
      <c r="I384" s="84"/>
    </row>
    <row r="385" spans="1:9" ht="25.5" x14ac:dyDescent="0.2">
      <c r="A385" s="67" t="s">
        <v>82</v>
      </c>
      <c r="B385" s="67" t="s">
        <v>83</v>
      </c>
      <c r="C385" s="67" t="s">
        <v>172</v>
      </c>
      <c r="D385" s="57" t="s">
        <v>173</v>
      </c>
      <c r="E385" s="57" t="s">
        <v>978</v>
      </c>
      <c r="F385" s="58" t="s">
        <v>86</v>
      </c>
      <c r="G385" s="57" t="s">
        <v>87</v>
      </c>
      <c r="H385" s="57" t="s">
        <v>88</v>
      </c>
      <c r="I385" s="57" t="s">
        <v>89</v>
      </c>
    </row>
    <row r="386" spans="1:9" x14ac:dyDescent="0.2">
      <c r="A386" s="97" t="s">
        <v>346</v>
      </c>
      <c r="B386" s="119" t="s">
        <v>347</v>
      </c>
      <c r="C386" s="99">
        <v>0.75019999999999998</v>
      </c>
      <c r="D386" s="99"/>
      <c r="E386" s="87"/>
      <c r="F386" s="104"/>
      <c r="G386" s="101"/>
      <c r="H386" s="101"/>
      <c r="I386" s="92"/>
    </row>
    <row r="387" spans="1:9" x14ac:dyDescent="0.2">
      <c r="A387" s="97" t="s">
        <v>348</v>
      </c>
      <c r="B387" s="98" t="s">
        <v>349</v>
      </c>
      <c r="C387" s="99">
        <v>1</v>
      </c>
      <c r="D387" s="99"/>
      <c r="E387" s="87"/>
      <c r="F387" s="104"/>
      <c r="G387" s="90"/>
      <c r="H387" s="92"/>
      <c r="I387" s="90"/>
    </row>
    <row r="388" spans="1:9" x14ac:dyDescent="0.2">
      <c r="A388" s="97" t="s">
        <v>350</v>
      </c>
      <c r="B388" s="98" t="s">
        <v>351</v>
      </c>
      <c r="C388" s="99">
        <v>0.75019999999999998</v>
      </c>
      <c r="D388" s="92"/>
      <c r="E388" s="87"/>
      <c r="F388" s="104"/>
      <c r="G388" s="101"/>
      <c r="H388" s="101"/>
      <c r="I388" s="92"/>
    </row>
    <row r="389" spans="1:9" x14ac:dyDescent="0.2">
      <c r="A389" s="97" t="s">
        <v>352</v>
      </c>
      <c r="B389" s="98" t="s">
        <v>353</v>
      </c>
      <c r="C389" s="99">
        <v>0.75019999999999998</v>
      </c>
      <c r="D389" s="92"/>
      <c r="E389" s="87"/>
      <c r="F389" s="104"/>
      <c r="G389" s="101"/>
      <c r="H389" s="101"/>
      <c r="I389" s="92"/>
    </row>
    <row r="390" spans="1:9" x14ac:dyDescent="0.2">
      <c r="A390" s="97" t="s">
        <v>354</v>
      </c>
      <c r="B390" s="98" t="s">
        <v>355</v>
      </c>
      <c r="C390" s="99">
        <v>1</v>
      </c>
      <c r="D390" s="92"/>
      <c r="E390" s="113"/>
      <c r="F390" s="90"/>
      <c r="G390" s="101"/>
      <c r="H390" s="92"/>
      <c r="I390" s="92"/>
    </row>
    <row r="391" spans="1:9" x14ac:dyDescent="0.2">
      <c r="A391" s="97" t="s">
        <v>356</v>
      </c>
      <c r="B391" s="98" t="s">
        <v>357</v>
      </c>
      <c r="C391" s="99">
        <v>1</v>
      </c>
      <c r="D391" s="114"/>
      <c r="E391" s="92"/>
      <c r="F391" s="104"/>
      <c r="G391" s="101"/>
      <c r="H391" s="101"/>
      <c r="I391" s="101"/>
    </row>
    <row r="392" spans="1:9" x14ac:dyDescent="0.2">
      <c r="A392" s="97" t="s">
        <v>358</v>
      </c>
      <c r="B392" s="98" t="s">
        <v>359</v>
      </c>
      <c r="C392" s="99">
        <v>1</v>
      </c>
      <c r="D392" s="99"/>
      <c r="E392" s="87"/>
      <c r="F392" s="104"/>
      <c r="G392" s="101"/>
      <c r="H392" s="101"/>
      <c r="I392" s="92"/>
    </row>
    <row r="393" spans="1:9" x14ac:dyDescent="0.2">
      <c r="A393" s="97" t="s">
        <v>360</v>
      </c>
      <c r="B393" s="98" t="s">
        <v>361</v>
      </c>
      <c r="C393" s="99">
        <v>0.44619999999999999</v>
      </c>
      <c r="D393" s="99"/>
      <c r="E393" s="87"/>
      <c r="F393" s="87"/>
      <c r="G393" s="101"/>
      <c r="H393" s="101"/>
      <c r="I393" s="92"/>
    </row>
    <row r="394" spans="1:9" x14ac:dyDescent="0.2">
      <c r="A394" s="97" t="s">
        <v>362</v>
      </c>
      <c r="B394" s="98" t="s">
        <v>363</v>
      </c>
      <c r="C394" s="99">
        <v>0.6</v>
      </c>
      <c r="D394" s="114"/>
      <c r="E394" s="90"/>
      <c r="F394" s="92"/>
      <c r="G394" s="101"/>
      <c r="H394" s="101"/>
      <c r="I394" s="101"/>
    </row>
    <row r="395" spans="1:9" x14ac:dyDescent="0.2">
      <c r="A395" s="97" t="s">
        <v>722</v>
      </c>
      <c r="B395" s="98" t="s">
        <v>723</v>
      </c>
      <c r="C395" s="99">
        <v>0.75</v>
      </c>
      <c r="D395" s="90"/>
      <c r="E395" s="90"/>
      <c r="F395" s="92"/>
      <c r="G395" s="101"/>
      <c r="H395" s="101"/>
      <c r="I395" s="94"/>
    </row>
    <row r="396" spans="1:9" x14ac:dyDescent="0.2">
      <c r="A396" s="116" t="s">
        <v>724</v>
      </c>
      <c r="B396" s="110" t="s">
        <v>725</v>
      </c>
      <c r="C396" s="86">
        <v>0.6</v>
      </c>
      <c r="D396" s="90"/>
      <c r="E396" s="90"/>
      <c r="F396" s="92"/>
      <c r="G396" s="90"/>
      <c r="H396" s="90"/>
      <c r="I396" s="90"/>
    </row>
    <row r="397" spans="1:9" x14ac:dyDescent="0.2">
      <c r="A397" s="97" t="s">
        <v>807</v>
      </c>
      <c r="B397" s="98" t="s">
        <v>809</v>
      </c>
      <c r="C397" s="99">
        <v>1</v>
      </c>
      <c r="D397" s="92"/>
      <c r="E397" s="101"/>
      <c r="F397" s="87"/>
      <c r="G397" s="101"/>
      <c r="H397" s="101"/>
      <c r="I397" s="101"/>
    </row>
    <row r="398" spans="1:9" x14ac:dyDescent="0.2">
      <c r="A398" s="116" t="s">
        <v>808</v>
      </c>
      <c r="B398" s="110" t="s">
        <v>810</v>
      </c>
      <c r="C398" s="86">
        <v>1</v>
      </c>
      <c r="D398" s="90"/>
      <c r="E398" s="92"/>
      <c r="F398" s="92"/>
      <c r="G398" s="90"/>
      <c r="H398" s="90"/>
      <c r="I398" s="90"/>
    </row>
    <row r="399" spans="1:9" ht="13.5" thickBot="1" x14ac:dyDescent="0.25">
      <c r="A399" s="254" t="s">
        <v>1139</v>
      </c>
      <c r="B399" s="255" t="s">
        <v>1140</v>
      </c>
      <c r="C399" s="86">
        <v>1</v>
      </c>
      <c r="D399" s="92"/>
      <c r="E399" s="90"/>
      <c r="F399" s="93"/>
      <c r="G399" s="90"/>
      <c r="H399" s="90"/>
      <c r="I399" s="90"/>
    </row>
    <row r="400" spans="1:9" ht="13.5" thickBot="1" x14ac:dyDescent="0.25">
      <c r="A400" s="59" t="s">
        <v>56</v>
      </c>
      <c r="B400" s="137"/>
      <c r="C400" s="138"/>
      <c r="D400" s="73">
        <f>SUM(D386:D399)</f>
        <v>0</v>
      </c>
      <c r="E400" s="73">
        <f t="shared" ref="E400:I400" si="15">SUM(E386:E399)</f>
        <v>0</v>
      </c>
      <c r="F400" s="73">
        <f t="shared" si="15"/>
        <v>0</v>
      </c>
      <c r="G400" s="73">
        <f t="shared" si="15"/>
        <v>0</v>
      </c>
      <c r="H400" s="73">
        <f t="shared" si="15"/>
        <v>0</v>
      </c>
      <c r="I400" s="73">
        <f t="shared" si="15"/>
        <v>0</v>
      </c>
    </row>
    <row r="401" spans="1:10" ht="13.5" thickBot="1" x14ac:dyDescent="0.25">
      <c r="A401" s="84"/>
      <c r="B401" s="84"/>
      <c r="C401" s="84"/>
      <c r="D401" s="84"/>
      <c r="E401" s="84"/>
      <c r="F401" s="84"/>
      <c r="G401" s="84"/>
      <c r="H401" s="84"/>
      <c r="I401" s="84"/>
    </row>
    <row r="402" spans="1:10" ht="13.5" thickBot="1" x14ac:dyDescent="0.25">
      <c r="A402" s="54" t="s">
        <v>16</v>
      </c>
      <c r="B402" s="84"/>
      <c r="C402" s="48"/>
      <c r="D402" s="48"/>
      <c r="E402" s="47"/>
      <c r="F402" s="84"/>
      <c r="G402" s="63" t="s">
        <v>56</v>
      </c>
      <c r="H402" s="64"/>
      <c r="I402" s="65">
        <f>SUM(D508:I508)</f>
        <v>0</v>
      </c>
    </row>
    <row r="403" spans="1:10" x14ac:dyDescent="0.2">
      <c r="A403" s="84"/>
      <c r="B403" s="133"/>
      <c r="C403" s="134"/>
      <c r="D403" s="134"/>
      <c r="E403" s="135"/>
      <c r="F403" s="84"/>
      <c r="G403" s="84"/>
      <c r="H403" s="84"/>
      <c r="I403" s="84"/>
      <c r="J403" s="84" t="s">
        <v>702</v>
      </c>
    </row>
    <row r="404" spans="1:10" ht="9.75" customHeight="1" x14ac:dyDescent="0.2">
      <c r="A404" s="67" t="s">
        <v>82</v>
      </c>
      <c r="B404" s="67" t="s">
        <v>83</v>
      </c>
      <c r="C404" s="67" t="s">
        <v>172</v>
      </c>
      <c r="D404" s="57" t="s">
        <v>173</v>
      </c>
      <c r="E404" s="57" t="s">
        <v>978</v>
      </c>
      <c r="F404" s="58" t="s">
        <v>86</v>
      </c>
      <c r="G404" s="57" t="s">
        <v>87</v>
      </c>
      <c r="H404" s="57" t="s">
        <v>88</v>
      </c>
      <c r="I404" s="57" t="s">
        <v>89</v>
      </c>
    </row>
    <row r="405" spans="1:10" ht="38.25" customHeight="1" x14ac:dyDescent="0.2">
      <c r="A405" s="112" t="s">
        <v>364</v>
      </c>
      <c r="B405" s="98" t="s">
        <v>365</v>
      </c>
      <c r="C405" s="99">
        <v>1</v>
      </c>
      <c r="D405" s="109"/>
      <c r="E405" s="113"/>
      <c r="F405" s="90"/>
      <c r="G405" s="90"/>
      <c r="H405" s="90"/>
      <c r="I405" s="101"/>
    </row>
    <row r="406" spans="1:10" x14ac:dyDescent="0.2">
      <c r="A406" s="194" t="s">
        <v>366</v>
      </c>
      <c r="B406" s="195" t="s">
        <v>744</v>
      </c>
      <c r="C406" s="196">
        <v>1</v>
      </c>
      <c r="D406" s="265"/>
      <c r="E406" s="253"/>
      <c r="F406" s="253"/>
      <c r="G406" s="253"/>
      <c r="H406" s="253"/>
      <c r="I406" s="253"/>
    </row>
    <row r="407" spans="1:10" x14ac:dyDescent="0.2">
      <c r="A407" s="97" t="s">
        <v>367</v>
      </c>
      <c r="B407" s="98" t="s">
        <v>368</v>
      </c>
      <c r="C407" s="99">
        <v>1</v>
      </c>
      <c r="D407" s="99"/>
      <c r="E407" s="87"/>
      <c r="F407" s="87"/>
      <c r="G407" s="101"/>
      <c r="H407" s="101"/>
      <c r="I407" s="101"/>
    </row>
    <row r="408" spans="1:10" x14ac:dyDescent="0.2">
      <c r="A408" s="194" t="s">
        <v>369</v>
      </c>
      <c r="B408" s="195" t="s">
        <v>745</v>
      </c>
      <c r="C408" s="196">
        <v>0.6</v>
      </c>
      <c r="D408" s="253"/>
      <c r="E408" s="253"/>
      <c r="F408" s="253"/>
      <c r="G408" s="253"/>
      <c r="H408" s="253"/>
      <c r="I408" s="253"/>
    </row>
    <row r="409" spans="1:10" x14ac:dyDescent="0.2">
      <c r="A409" s="97" t="s">
        <v>370</v>
      </c>
      <c r="B409" s="98" t="s">
        <v>371</v>
      </c>
      <c r="C409" s="99">
        <v>1</v>
      </c>
      <c r="D409" s="99"/>
      <c r="E409" s="87"/>
      <c r="F409" s="87"/>
      <c r="G409" s="101"/>
      <c r="H409" s="101"/>
      <c r="I409" s="101"/>
    </row>
    <row r="410" spans="1:10" x14ac:dyDescent="0.2">
      <c r="A410" s="97" t="s">
        <v>1141</v>
      </c>
      <c r="B410" s="98" t="s">
        <v>1142</v>
      </c>
      <c r="C410" s="99">
        <v>1</v>
      </c>
      <c r="D410" s="97"/>
      <c r="E410" s="97"/>
      <c r="F410" s="97"/>
      <c r="G410" s="97"/>
      <c r="H410" s="97"/>
      <c r="I410" s="97"/>
    </row>
    <row r="411" spans="1:10" x14ac:dyDescent="0.2">
      <c r="A411" s="97" t="s">
        <v>372</v>
      </c>
      <c r="B411" s="98" t="s">
        <v>373</v>
      </c>
      <c r="C411" s="99">
        <v>0.8</v>
      </c>
      <c r="D411" s="99"/>
      <c r="E411" s="87"/>
      <c r="F411" s="87"/>
      <c r="G411" s="101"/>
      <c r="H411" s="101"/>
      <c r="I411" s="101"/>
    </row>
    <row r="412" spans="1:10" x14ac:dyDescent="0.2">
      <c r="A412" s="97" t="s">
        <v>374</v>
      </c>
      <c r="B412" s="98" t="s">
        <v>375</v>
      </c>
      <c r="C412" s="99">
        <v>0.5302</v>
      </c>
      <c r="D412" s="97"/>
      <c r="E412" s="97"/>
      <c r="F412" s="97"/>
      <c r="G412" s="97"/>
      <c r="H412" s="97"/>
      <c r="I412" s="97"/>
    </row>
    <row r="413" spans="1:10" x14ac:dyDescent="0.2">
      <c r="A413" s="194" t="s">
        <v>376</v>
      </c>
      <c r="B413" s="195" t="s">
        <v>377</v>
      </c>
      <c r="C413" s="196">
        <v>1</v>
      </c>
      <c r="D413" s="253"/>
      <c r="E413" s="253"/>
      <c r="F413" s="253"/>
      <c r="G413" s="253"/>
      <c r="H413" s="253"/>
      <c r="I413" s="253"/>
    </row>
    <row r="414" spans="1:10" x14ac:dyDescent="0.2">
      <c r="A414" s="97" t="s">
        <v>378</v>
      </c>
      <c r="B414" s="98" t="s">
        <v>379</v>
      </c>
      <c r="C414" s="99">
        <v>1</v>
      </c>
      <c r="D414" s="99"/>
      <c r="E414" s="87"/>
      <c r="F414" s="87"/>
      <c r="G414" s="87"/>
      <c r="H414" s="87"/>
      <c r="I414" s="101"/>
    </row>
    <row r="415" spans="1:10" x14ac:dyDescent="0.2">
      <c r="A415" s="97" t="s">
        <v>380</v>
      </c>
      <c r="B415" s="98" t="s">
        <v>746</v>
      </c>
      <c r="C415" s="99">
        <v>1</v>
      </c>
      <c r="D415" s="115"/>
      <c r="E415" s="113"/>
      <c r="F415" s="101"/>
      <c r="G415" s="101"/>
      <c r="H415" s="101"/>
      <c r="I415" s="101"/>
      <c r="J415" s="84" t="s">
        <v>702</v>
      </c>
    </row>
    <row r="416" spans="1:10" x14ac:dyDescent="0.2">
      <c r="A416" s="97" t="s">
        <v>381</v>
      </c>
      <c r="B416" s="98" t="s">
        <v>382</v>
      </c>
      <c r="C416" s="99">
        <v>1</v>
      </c>
      <c r="D416" s="99"/>
      <c r="E416" s="87"/>
      <c r="F416" s="87"/>
      <c r="G416" s="101"/>
      <c r="H416" s="101"/>
      <c r="I416" s="101"/>
    </row>
    <row r="417" spans="1:10" x14ac:dyDescent="0.2">
      <c r="A417" s="97" t="s">
        <v>383</v>
      </c>
      <c r="B417" s="98" t="s">
        <v>384</v>
      </c>
      <c r="C417" s="99">
        <v>1</v>
      </c>
      <c r="D417" s="99"/>
      <c r="E417" s="87"/>
      <c r="F417" s="87"/>
      <c r="G417" s="101"/>
      <c r="H417" s="101"/>
      <c r="I417" s="101"/>
    </row>
    <row r="418" spans="1:10" x14ac:dyDescent="0.2">
      <c r="A418" s="97" t="s">
        <v>385</v>
      </c>
      <c r="B418" s="98" t="s">
        <v>386</v>
      </c>
      <c r="C418" s="99">
        <v>0.6</v>
      </c>
      <c r="D418" s="99"/>
      <c r="E418" s="87"/>
      <c r="F418" s="87"/>
      <c r="G418" s="101"/>
      <c r="H418" s="101"/>
      <c r="I418" s="101"/>
    </row>
    <row r="419" spans="1:10" x14ac:dyDescent="0.2">
      <c r="A419" s="97" t="s">
        <v>387</v>
      </c>
      <c r="B419" s="98" t="s">
        <v>388</v>
      </c>
      <c r="C419" s="99">
        <v>0.6</v>
      </c>
      <c r="D419" s="99"/>
      <c r="E419" s="87"/>
      <c r="F419" s="87"/>
      <c r="G419" s="101"/>
      <c r="H419" s="101"/>
      <c r="I419" s="101"/>
    </row>
    <row r="420" spans="1:10" x14ac:dyDescent="0.2">
      <c r="A420" s="97" t="s">
        <v>389</v>
      </c>
      <c r="B420" s="98" t="s">
        <v>390</v>
      </c>
      <c r="C420" s="99">
        <v>1</v>
      </c>
      <c r="D420" s="99"/>
      <c r="E420" s="87"/>
      <c r="F420" s="87"/>
      <c r="G420" s="101"/>
      <c r="H420" s="101"/>
      <c r="I420" s="101"/>
    </row>
    <row r="421" spans="1:10" x14ac:dyDescent="0.2">
      <c r="A421" s="97" t="s">
        <v>680</v>
      </c>
      <c r="B421" s="98" t="s">
        <v>747</v>
      </c>
      <c r="C421" s="99">
        <v>0.8</v>
      </c>
      <c r="D421" s="99"/>
      <c r="E421" s="87"/>
      <c r="F421" s="87"/>
      <c r="G421" s="101"/>
      <c r="H421" s="101"/>
      <c r="I421" s="101"/>
      <c r="J421" s="84"/>
    </row>
    <row r="422" spans="1:10" x14ac:dyDescent="0.2">
      <c r="A422" s="97" t="s">
        <v>392</v>
      </c>
      <c r="B422" s="98" t="s">
        <v>748</v>
      </c>
      <c r="C422" s="99">
        <v>1</v>
      </c>
      <c r="D422" s="115"/>
      <c r="E422" s="113"/>
      <c r="F422" s="101"/>
      <c r="G422" s="101"/>
      <c r="H422" s="101"/>
      <c r="I422" s="101"/>
      <c r="J422" s="84"/>
    </row>
    <row r="423" spans="1:10" x14ac:dyDescent="0.2">
      <c r="A423" s="97" t="s">
        <v>393</v>
      </c>
      <c r="B423" s="98" t="s">
        <v>749</v>
      </c>
      <c r="C423" s="99">
        <v>1</v>
      </c>
      <c r="D423" s="99"/>
      <c r="E423" s="87"/>
      <c r="F423" s="87"/>
      <c r="G423" s="101"/>
      <c r="H423" s="101"/>
      <c r="I423" s="101"/>
    </row>
    <row r="424" spans="1:10" x14ac:dyDescent="0.2">
      <c r="A424" s="97" t="s">
        <v>394</v>
      </c>
      <c r="B424" s="98" t="s">
        <v>750</v>
      </c>
      <c r="C424" s="99">
        <v>1</v>
      </c>
      <c r="D424" s="92"/>
      <c r="E424" s="87"/>
      <c r="F424" s="87"/>
      <c r="G424" s="101"/>
      <c r="H424" s="101"/>
      <c r="I424" s="101"/>
    </row>
    <row r="425" spans="1:10" x14ac:dyDescent="0.2">
      <c r="A425" s="97" t="s">
        <v>396</v>
      </c>
      <c r="B425" s="98" t="s">
        <v>395</v>
      </c>
      <c r="C425" s="99">
        <v>1</v>
      </c>
      <c r="D425" s="99"/>
      <c r="E425" s="87"/>
      <c r="F425" s="87"/>
      <c r="G425" s="101"/>
      <c r="H425" s="101"/>
      <c r="I425" s="101"/>
    </row>
    <row r="426" spans="1:10" x14ac:dyDescent="0.2">
      <c r="A426" s="97" t="s">
        <v>397</v>
      </c>
      <c r="B426" s="98" t="s">
        <v>751</v>
      </c>
      <c r="C426" s="99">
        <v>1</v>
      </c>
      <c r="D426" s="115"/>
      <c r="E426" s="113"/>
      <c r="F426" s="101"/>
      <c r="G426" s="101"/>
      <c r="H426" s="101"/>
      <c r="I426" s="101"/>
      <c r="J426" s="84" t="s">
        <v>702</v>
      </c>
    </row>
    <row r="427" spans="1:10" x14ac:dyDescent="0.2">
      <c r="A427" s="97" t="s">
        <v>681</v>
      </c>
      <c r="B427" s="98" t="s">
        <v>752</v>
      </c>
      <c r="C427" s="99">
        <v>1</v>
      </c>
      <c r="D427" s="115"/>
      <c r="E427" s="87"/>
      <c r="F427" s="87"/>
      <c r="G427" s="101"/>
      <c r="H427" s="101"/>
      <c r="I427" s="101"/>
    </row>
    <row r="428" spans="1:10" x14ac:dyDescent="0.2">
      <c r="A428" s="97" t="s">
        <v>1143</v>
      </c>
      <c r="B428" s="98" t="s">
        <v>1144</v>
      </c>
      <c r="C428" s="99">
        <v>0.6</v>
      </c>
      <c r="D428" s="97"/>
      <c r="E428" s="97"/>
      <c r="F428" s="97"/>
      <c r="G428" s="97"/>
      <c r="H428" s="97"/>
      <c r="I428" s="97"/>
    </row>
    <row r="429" spans="1:10" x14ac:dyDescent="0.2">
      <c r="A429" s="97" t="s">
        <v>398</v>
      </c>
      <c r="B429" s="98" t="s">
        <v>399</v>
      </c>
      <c r="C429" s="99">
        <v>1</v>
      </c>
      <c r="D429" s="97"/>
      <c r="E429" s="97"/>
      <c r="F429" s="97"/>
      <c r="G429" s="97"/>
      <c r="H429" s="97"/>
      <c r="I429" s="97"/>
    </row>
    <row r="430" spans="1:10" x14ac:dyDescent="0.2">
      <c r="A430" s="97" t="s">
        <v>923</v>
      </c>
      <c r="B430" s="98" t="s">
        <v>753</v>
      </c>
      <c r="C430" s="99">
        <v>1</v>
      </c>
      <c r="D430" s="115"/>
      <c r="E430" s="87"/>
      <c r="F430" s="87"/>
      <c r="G430" s="101"/>
      <c r="H430" s="101"/>
      <c r="I430" s="101"/>
    </row>
    <row r="431" spans="1:10" x14ac:dyDescent="0.2">
      <c r="A431" s="97" t="s">
        <v>1145</v>
      </c>
      <c r="B431" s="98" t="s">
        <v>1146</v>
      </c>
      <c r="C431" s="99">
        <v>1</v>
      </c>
      <c r="D431" s="97"/>
      <c r="E431" s="97"/>
      <c r="F431" s="97"/>
      <c r="G431" s="97"/>
      <c r="H431" s="97"/>
      <c r="I431" s="97"/>
    </row>
    <row r="432" spans="1:10" x14ac:dyDescent="0.2">
      <c r="A432" s="97" t="s">
        <v>1147</v>
      </c>
      <c r="B432" s="98" t="s">
        <v>1148</v>
      </c>
      <c r="C432" s="99">
        <v>0.6</v>
      </c>
      <c r="D432" s="97"/>
      <c r="E432" s="97"/>
      <c r="F432" s="97"/>
      <c r="G432" s="97"/>
      <c r="H432" s="97"/>
      <c r="I432" s="97"/>
    </row>
    <row r="433" spans="1:10" x14ac:dyDescent="0.2">
      <c r="A433" s="97" t="s">
        <v>1149</v>
      </c>
      <c r="B433" s="98" t="s">
        <v>1150</v>
      </c>
      <c r="C433" s="99">
        <v>1</v>
      </c>
      <c r="D433" s="97"/>
      <c r="E433" s="97"/>
      <c r="F433" s="97"/>
      <c r="G433" s="97"/>
      <c r="H433" s="97"/>
      <c r="I433" s="97"/>
    </row>
    <row r="434" spans="1:10" x14ac:dyDescent="0.2">
      <c r="A434" s="97" t="s">
        <v>146</v>
      </c>
      <c r="B434" s="98" t="s">
        <v>1151</v>
      </c>
      <c r="C434" s="99">
        <v>0.6</v>
      </c>
      <c r="D434" s="97"/>
      <c r="E434" s="97"/>
      <c r="F434" s="97"/>
      <c r="G434" s="97"/>
      <c r="H434" s="97"/>
      <c r="I434" s="97"/>
    </row>
    <row r="435" spans="1:10" x14ac:dyDescent="0.2">
      <c r="A435" s="97" t="s">
        <v>400</v>
      </c>
      <c r="B435" s="98" t="s">
        <v>401</v>
      </c>
      <c r="C435" s="99">
        <v>0.15379999999999999</v>
      </c>
      <c r="D435" s="99"/>
      <c r="E435" s="87"/>
      <c r="F435" s="87"/>
      <c r="G435" s="101"/>
      <c r="H435" s="101"/>
      <c r="I435" s="101"/>
    </row>
    <row r="436" spans="1:10" x14ac:dyDescent="0.2">
      <c r="A436" s="194" t="s">
        <v>402</v>
      </c>
      <c r="B436" s="195" t="s">
        <v>403</v>
      </c>
      <c r="C436" s="196">
        <v>1</v>
      </c>
      <c r="D436" s="197"/>
      <c r="E436" s="253"/>
      <c r="F436" s="253"/>
      <c r="G436" s="253"/>
      <c r="H436" s="253"/>
      <c r="I436" s="253"/>
    </row>
    <row r="437" spans="1:10" x14ac:dyDescent="0.2">
      <c r="A437" s="97" t="s">
        <v>404</v>
      </c>
      <c r="B437" s="98" t="s">
        <v>405</v>
      </c>
      <c r="C437" s="99">
        <v>1</v>
      </c>
      <c r="D437" s="97"/>
      <c r="E437" s="97"/>
      <c r="F437" s="97"/>
      <c r="G437" s="97"/>
      <c r="H437" s="97"/>
      <c r="I437" s="97"/>
    </row>
    <row r="438" spans="1:10" x14ac:dyDescent="0.2">
      <c r="A438" s="97" t="s">
        <v>406</v>
      </c>
      <c r="B438" s="98" t="s">
        <v>754</v>
      </c>
      <c r="C438" s="99">
        <v>1</v>
      </c>
      <c r="D438" s="115"/>
      <c r="E438" s="87"/>
      <c r="F438" s="87"/>
      <c r="G438" s="101"/>
      <c r="H438" s="101"/>
      <c r="I438" s="101"/>
    </row>
    <row r="439" spans="1:10" x14ac:dyDescent="0.2">
      <c r="A439" s="97" t="s">
        <v>1152</v>
      </c>
      <c r="B439" s="98" t="s">
        <v>1153</v>
      </c>
      <c r="C439" s="99">
        <v>1</v>
      </c>
      <c r="D439" s="97"/>
      <c r="E439" s="97"/>
      <c r="F439" s="97"/>
      <c r="G439" s="97"/>
      <c r="H439" s="97"/>
      <c r="I439" s="97"/>
    </row>
    <row r="440" spans="1:10" x14ac:dyDescent="0.2">
      <c r="A440" s="97" t="s">
        <v>407</v>
      </c>
      <c r="B440" s="98" t="s">
        <v>408</v>
      </c>
      <c r="C440" s="99">
        <v>1</v>
      </c>
      <c r="D440" s="99"/>
      <c r="E440" s="87"/>
      <c r="F440" s="87"/>
      <c r="G440" s="101"/>
      <c r="H440" s="101"/>
      <c r="I440" s="101"/>
    </row>
    <row r="441" spans="1:10" x14ac:dyDescent="0.2">
      <c r="A441" s="97" t="s">
        <v>409</v>
      </c>
      <c r="B441" s="98" t="s">
        <v>755</v>
      </c>
      <c r="C441" s="99">
        <v>1</v>
      </c>
      <c r="D441" s="115"/>
      <c r="E441" s="87"/>
      <c r="F441" s="87"/>
      <c r="G441" s="101"/>
      <c r="H441" s="101"/>
      <c r="I441" s="101"/>
    </row>
    <row r="442" spans="1:10" x14ac:dyDescent="0.2">
      <c r="A442" s="97" t="s">
        <v>410</v>
      </c>
      <c r="B442" s="98" t="s">
        <v>411</v>
      </c>
      <c r="C442" s="99">
        <v>1</v>
      </c>
      <c r="D442" s="99"/>
      <c r="E442" s="87"/>
      <c r="F442" s="101"/>
      <c r="G442" s="87"/>
      <c r="H442" s="87"/>
      <c r="I442" s="101"/>
    </row>
    <row r="443" spans="1:10" x14ac:dyDescent="0.2">
      <c r="A443" s="97" t="s">
        <v>412</v>
      </c>
      <c r="B443" s="98" t="s">
        <v>413</v>
      </c>
      <c r="C443" s="99">
        <v>1</v>
      </c>
      <c r="D443" s="99"/>
      <c r="E443" s="87"/>
      <c r="F443" s="87"/>
      <c r="G443" s="101"/>
      <c r="H443" s="101"/>
      <c r="I443" s="101"/>
    </row>
    <row r="444" spans="1:10" x14ac:dyDescent="0.2">
      <c r="A444" s="97" t="s">
        <v>1154</v>
      </c>
      <c r="B444" s="98" t="s">
        <v>1155</v>
      </c>
      <c r="C444" s="99">
        <v>1</v>
      </c>
      <c r="D444" s="97"/>
      <c r="E444" s="97"/>
      <c r="F444" s="97"/>
      <c r="G444" s="97"/>
      <c r="H444" s="97"/>
      <c r="I444" s="97"/>
    </row>
    <row r="445" spans="1:10" x14ac:dyDescent="0.2">
      <c r="A445" s="97" t="s">
        <v>414</v>
      </c>
      <c r="B445" s="98" t="s">
        <v>415</v>
      </c>
      <c r="C445" s="99">
        <v>1</v>
      </c>
      <c r="D445" s="99"/>
      <c r="E445" s="87"/>
      <c r="F445" s="87"/>
      <c r="G445" s="101"/>
      <c r="H445" s="101"/>
      <c r="I445" s="101"/>
      <c r="J445" s="84" t="s">
        <v>702</v>
      </c>
    </row>
    <row r="446" spans="1:10" x14ac:dyDescent="0.2">
      <c r="A446" s="97" t="s">
        <v>416</v>
      </c>
      <c r="B446" s="98" t="s">
        <v>756</v>
      </c>
      <c r="C446" s="99">
        <v>1</v>
      </c>
      <c r="D446" s="99"/>
      <c r="E446" s="87"/>
      <c r="F446" s="87"/>
      <c r="G446" s="101"/>
      <c r="H446" s="101"/>
      <c r="I446" s="101"/>
    </row>
    <row r="447" spans="1:10" x14ac:dyDescent="0.2">
      <c r="A447" s="97" t="s">
        <v>417</v>
      </c>
      <c r="B447" s="98" t="s">
        <v>757</v>
      </c>
      <c r="C447" s="99">
        <v>1</v>
      </c>
      <c r="D447" s="99"/>
      <c r="E447" s="87"/>
      <c r="F447" s="87"/>
      <c r="G447" s="101"/>
      <c r="H447" s="101"/>
      <c r="I447" s="101"/>
    </row>
    <row r="448" spans="1:10" x14ac:dyDescent="0.2">
      <c r="A448" s="97" t="s">
        <v>1156</v>
      </c>
      <c r="B448" s="98" t="s">
        <v>1157</v>
      </c>
      <c r="C448" s="99">
        <v>1</v>
      </c>
      <c r="D448" s="97"/>
      <c r="E448" s="97"/>
      <c r="F448" s="97"/>
      <c r="G448" s="97"/>
      <c r="H448" s="97"/>
      <c r="I448" s="97"/>
    </row>
    <row r="449" spans="1:10" x14ac:dyDescent="0.2">
      <c r="A449" s="97" t="s">
        <v>418</v>
      </c>
      <c r="B449" s="98" t="s">
        <v>419</v>
      </c>
      <c r="C449" s="99">
        <v>1</v>
      </c>
      <c r="D449" s="99"/>
      <c r="E449" s="87"/>
      <c r="F449" s="87"/>
      <c r="G449" s="87"/>
      <c r="H449" s="87"/>
      <c r="I449" s="101"/>
    </row>
    <row r="450" spans="1:10" x14ac:dyDescent="0.2">
      <c r="A450" s="97" t="s">
        <v>420</v>
      </c>
      <c r="B450" s="98" t="s">
        <v>421</v>
      </c>
      <c r="C450" s="99">
        <v>1</v>
      </c>
      <c r="D450" s="92"/>
      <c r="E450" s="87"/>
      <c r="F450" s="87"/>
      <c r="G450" s="101"/>
      <c r="H450" s="101"/>
      <c r="I450" s="101"/>
    </row>
    <row r="451" spans="1:10" ht="13.5" customHeight="1" x14ac:dyDescent="0.2">
      <c r="A451" s="97" t="s">
        <v>422</v>
      </c>
      <c r="B451" s="98" t="s">
        <v>423</v>
      </c>
      <c r="C451" s="99">
        <v>0.6</v>
      </c>
      <c r="D451" s="99"/>
      <c r="E451" s="87"/>
      <c r="F451" s="87"/>
      <c r="G451" s="101"/>
      <c r="H451" s="101"/>
      <c r="I451" s="101"/>
    </row>
    <row r="452" spans="1:10" x14ac:dyDescent="0.2">
      <c r="A452" s="97" t="s">
        <v>424</v>
      </c>
      <c r="B452" s="98" t="s">
        <v>425</v>
      </c>
      <c r="C452" s="99">
        <v>1</v>
      </c>
      <c r="D452" s="92"/>
      <c r="E452" s="87"/>
      <c r="F452" s="87"/>
      <c r="G452" s="101"/>
      <c r="H452" s="101"/>
      <c r="I452" s="101"/>
    </row>
    <row r="453" spans="1:10" x14ac:dyDescent="0.2">
      <c r="A453" s="97" t="s">
        <v>426</v>
      </c>
      <c r="B453" s="98" t="s">
        <v>427</v>
      </c>
      <c r="C453" s="99">
        <v>1</v>
      </c>
      <c r="D453" s="99"/>
      <c r="E453" s="87"/>
      <c r="F453" s="87"/>
      <c r="G453" s="101"/>
      <c r="H453" s="101"/>
      <c r="I453" s="101"/>
    </row>
    <row r="454" spans="1:10" x14ac:dyDescent="0.2">
      <c r="A454" s="97" t="s">
        <v>428</v>
      </c>
      <c r="B454" s="98" t="s">
        <v>429</v>
      </c>
      <c r="C454" s="99">
        <v>1</v>
      </c>
      <c r="D454" s="97"/>
      <c r="E454" s="97"/>
      <c r="F454" s="97"/>
      <c r="G454" s="97"/>
      <c r="H454" s="97"/>
      <c r="I454" s="97"/>
    </row>
    <row r="455" spans="1:10" x14ac:dyDescent="0.2">
      <c r="A455" s="97" t="s">
        <v>430</v>
      </c>
      <c r="B455" s="98" t="s">
        <v>431</v>
      </c>
      <c r="C455" s="99">
        <v>1</v>
      </c>
      <c r="D455" s="99"/>
      <c r="E455" s="87"/>
      <c r="F455" s="87"/>
      <c r="G455" s="101"/>
      <c r="H455" s="101"/>
      <c r="I455" s="101"/>
    </row>
    <row r="456" spans="1:10" x14ac:dyDescent="0.2">
      <c r="A456" s="97" t="s">
        <v>432</v>
      </c>
      <c r="B456" s="98" t="s">
        <v>433</v>
      </c>
      <c r="C456" s="99">
        <v>0.6</v>
      </c>
      <c r="D456" s="99"/>
      <c r="E456" s="87"/>
      <c r="F456" s="87"/>
      <c r="G456" s="101"/>
      <c r="H456" s="101"/>
      <c r="I456" s="101"/>
    </row>
    <row r="457" spans="1:10" x14ac:dyDescent="0.2">
      <c r="A457" s="97" t="s">
        <v>1158</v>
      </c>
      <c r="B457" s="98" t="s">
        <v>1159</v>
      </c>
      <c r="C457" s="99">
        <v>1</v>
      </c>
      <c r="D457" s="97"/>
      <c r="E457" s="97"/>
      <c r="F457" s="97"/>
      <c r="G457" s="97"/>
      <c r="H457" s="97"/>
      <c r="I457" s="97"/>
    </row>
    <row r="458" spans="1:10" x14ac:dyDescent="0.2">
      <c r="A458" s="116" t="s">
        <v>434</v>
      </c>
      <c r="B458" s="98" t="s">
        <v>435</v>
      </c>
      <c r="C458" s="99">
        <v>1</v>
      </c>
      <c r="D458" s="99"/>
      <c r="E458" s="87"/>
      <c r="F458" s="87"/>
      <c r="G458" s="101"/>
      <c r="H458" s="101"/>
      <c r="I458" s="101"/>
    </row>
    <row r="459" spans="1:10" x14ac:dyDescent="0.2">
      <c r="A459" s="194" t="s">
        <v>758</v>
      </c>
      <c r="B459" s="195" t="s">
        <v>759</v>
      </c>
      <c r="C459" s="196">
        <v>1</v>
      </c>
      <c r="D459" s="196"/>
      <c r="E459" s="200"/>
      <c r="F459" s="200"/>
      <c r="G459" s="253"/>
      <c r="H459" s="253"/>
      <c r="I459" s="200"/>
    </row>
    <row r="460" spans="1:10" x14ac:dyDescent="0.2">
      <c r="A460" s="194" t="s">
        <v>760</v>
      </c>
      <c r="B460" s="195" t="s">
        <v>761</v>
      </c>
      <c r="C460" s="196">
        <v>0.8</v>
      </c>
      <c r="D460" s="200"/>
      <c r="E460" s="200"/>
      <c r="F460" s="253"/>
      <c r="G460" s="253"/>
      <c r="H460" s="253"/>
      <c r="I460" s="200"/>
    </row>
    <row r="461" spans="1:10" x14ac:dyDescent="0.2">
      <c r="A461" s="194" t="s">
        <v>762</v>
      </c>
      <c r="B461" s="195" t="s">
        <v>763</v>
      </c>
      <c r="C461" s="196">
        <v>1</v>
      </c>
      <c r="D461" s="200"/>
      <c r="E461" s="200"/>
      <c r="F461" s="200"/>
      <c r="G461" s="253"/>
      <c r="H461" s="253"/>
      <c r="I461" s="200"/>
      <c r="J461" s="84" t="s">
        <v>702</v>
      </c>
    </row>
    <row r="462" spans="1:10" x14ac:dyDescent="0.2">
      <c r="A462" s="194" t="s">
        <v>764</v>
      </c>
      <c r="B462" s="195" t="s">
        <v>765</v>
      </c>
      <c r="C462" s="196">
        <v>0.4</v>
      </c>
      <c r="D462" s="200"/>
      <c r="E462" s="253"/>
      <c r="F462" s="253"/>
      <c r="G462" s="253"/>
      <c r="H462" s="253"/>
      <c r="I462" s="200"/>
    </row>
    <row r="463" spans="1:10" x14ac:dyDescent="0.2">
      <c r="A463" s="194" t="s">
        <v>766</v>
      </c>
      <c r="B463" s="195" t="s">
        <v>767</v>
      </c>
      <c r="C463" s="196">
        <v>1</v>
      </c>
      <c r="D463" s="200"/>
      <c r="E463" s="200"/>
      <c r="F463" s="200"/>
      <c r="G463" s="253"/>
      <c r="H463" s="253"/>
      <c r="I463" s="200"/>
    </row>
    <row r="464" spans="1:10" x14ac:dyDescent="0.2">
      <c r="A464" s="194" t="s">
        <v>768</v>
      </c>
      <c r="B464" s="195" t="s">
        <v>769</v>
      </c>
      <c r="C464" s="196">
        <v>1</v>
      </c>
      <c r="D464" s="200"/>
      <c r="E464" s="200"/>
      <c r="F464" s="200"/>
      <c r="G464" s="253"/>
      <c r="H464" s="253"/>
      <c r="I464" s="200"/>
    </row>
    <row r="465" spans="1:10" x14ac:dyDescent="0.2">
      <c r="A465" s="97" t="s">
        <v>1160</v>
      </c>
      <c r="B465" s="98" t="s">
        <v>1161</v>
      </c>
      <c r="C465" s="99">
        <v>1</v>
      </c>
      <c r="D465" s="97"/>
      <c r="E465" s="97"/>
      <c r="F465" s="97"/>
      <c r="G465" s="97"/>
      <c r="H465" s="97"/>
      <c r="I465" s="97"/>
    </row>
    <row r="466" spans="1:10" x14ac:dyDescent="0.2">
      <c r="A466" s="194" t="s">
        <v>770</v>
      </c>
      <c r="B466" s="195" t="s">
        <v>771</v>
      </c>
      <c r="C466" s="196">
        <v>0.8</v>
      </c>
      <c r="D466" s="196"/>
      <c r="E466" s="266"/>
      <c r="F466" s="200"/>
      <c r="G466" s="200"/>
      <c r="H466" s="253"/>
      <c r="I466" s="253"/>
    </row>
    <row r="467" spans="1:10" x14ac:dyDescent="0.2">
      <c r="A467" s="194" t="s">
        <v>772</v>
      </c>
      <c r="B467" s="195" t="s">
        <v>773</v>
      </c>
      <c r="C467" s="196">
        <v>1</v>
      </c>
      <c r="D467" s="196"/>
      <c r="E467" s="266"/>
      <c r="F467" s="200"/>
      <c r="G467" s="200"/>
      <c r="H467" s="253"/>
      <c r="I467" s="253"/>
    </row>
    <row r="468" spans="1:10" x14ac:dyDescent="0.2">
      <c r="A468" s="194" t="s">
        <v>774</v>
      </c>
      <c r="B468" s="195" t="s">
        <v>775</v>
      </c>
      <c r="C468" s="196">
        <v>1</v>
      </c>
      <c r="D468" s="196"/>
      <c r="E468" s="266"/>
      <c r="F468" s="200"/>
      <c r="G468" s="200"/>
      <c r="H468" s="253"/>
      <c r="I468" s="253"/>
    </row>
    <row r="469" spans="1:10" x14ac:dyDescent="0.2">
      <c r="A469" s="97" t="s">
        <v>776</v>
      </c>
      <c r="B469" s="98" t="s">
        <v>777</v>
      </c>
      <c r="C469" s="99">
        <v>1</v>
      </c>
      <c r="D469" s="99"/>
      <c r="E469" s="87"/>
      <c r="F469" s="87"/>
      <c r="G469" s="101"/>
      <c r="H469" s="101"/>
      <c r="I469" s="101"/>
    </row>
    <row r="470" spans="1:10" x14ac:dyDescent="0.2">
      <c r="A470" s="116" t="s">
        <v>778</v>
      </c>
      <c r="B470" s="98" t="s">
        <v>779</v>
      </c>
      <c r="C470" s="99">
        <v>1</v>
      </c>
      <c r="D470" s="174"/>
      <c r="E470" s="174"/>
      <c r="F470" s="174"/>
      <c r="G470" s="174"/>
      <c r="H470" s="174"/>
      <c r="I470" s="174"/>
    </row>
    <row r="471" spans="1:10" x14ac:dyDescent="0.2">
      <c r="A471" s="194" t="s">
        <v>787</v>
      </c>
      <c r="B471" s="195" t="s">
        <v>789</v>
      </c>
      <c r="C471" s="196">
        <v>1</v>
      </c>
      <c r="D471" s="200"/>
      <c r="E471" s="253"/>
      <c r="F471" s="253"/>
      <c r="G471" s="253"/>
      <c r="H471" s="253"/>
      <c r="I471" s="200"/>
    </row>
    <row r="472" spans="1:10" x14ac:dyDescent="0.2">
      <c r="A472" s="97" t="s">
        <v>1162</v>
      </c>
      <c r="B472" s="98" t="s">
        <v>790</v>
      </c>
      <c r="C472" s="99">
        <v>1</v>
      </c>
      <c r="D472" s="174"/>
      <c r="E472" s="174"/>
      <c r="F472" s="174"/>
      <c r="G472" s="174"/>
      <c r="H472" s="174"/>
      <c r="I472" s="174"/>
    </row>
    <row r="473" spans="1:10" x14ac:dyDescent="0.2">
      <c r="A473" s="97" t="s">
        <v>788</v>
      </c>
      <c r="B473" s="98" t="s">
        <v>791</v>
      </c>
      <c r="C473" s="99">
        <v>1</v>
      </c>
      <c r="D473" s="174"/>
      <c r="E473" s="174"/>
      <c r="F473" s="174"/>
      <c r="G473" s="174"/>
      <c r="H473" s="174"/>
      <c r="I473" s="174"/>
    </row>
    <row r="474" spans="1:10" x14ac:dyDescent="0.2">
      <c r="A474" s="194" t="s">
        <v>924</v>
      </c>
      <c r="B474" s="195" t="s">
        <v>790</v>
      </c>
      <c r="C474" s="196">
        <v>1</v>
      </c>
      <c r="D474" s="200"/>
      <c r="E474" s="200"/>
      <c r="F474" s="253"/>
      <c r="G474" s="253"/>
      <c r="H474" s="253"/>
      <c r="I474" s="200"/>
    </row>
    <row r="475" spans="1:10" x14ac:dyDescent="0.2">
      <c r="A475" s="97" t="s">
        <v>788</v>
      </c>
      <c r="B475" s="98" t="s">
        <v>791</v>
      </c>
      <c r="C475" s="99">
        <v>1</v>
      </c>
      <c r="D475" s="94"/>
      <c r="E475" s="94"/>
      <c r="F475" s="87"/>
      <c r="G475" s="101"/>
      <c r="H475" s="101"/>
      <c r="I475" s="94"/>
    </row>
    <row r="476" spans="1:10" x14ac:dyDescent="0.2">
      <c r="A476" s="194" t="s">
        <v>925</v>
      </c>
      <c r="B476" s="195" t="s">
        <v>940</v>
      </c>
      <c r="C476" s="196">
        <v>1</v>
      </c>
      <c r="D476" s="200"/>
      <c r="E476" s="253"/>
      <c r="F476" s="253"/>
      <c r="G476" s="253"/>
      <c r="H476" s="253"/>
      <c r="I476" s="200"/>
    </row>
    <row r="477" spans="1:10" x14ac:dyDescent="0.2">
      <c r="A477" s="194" t="s">
        <v>926</v>
      </c>
      <c r="B477" s="195" t="s">
        <v>941</v>
      </c>
      <c r="C477" s="196">
        <v>1</v>
      </c>
      <c r="D477" s="200"/>
      <c r="E477" s="253"/>
      <c r="F477" s="253"/>
      <c r="G477" s="253"/>
      <c r="H477" s="253"/>
      <c r="I477" s="200"/>
      <c r="J477" s="84" t="s">
        <v>702</v>
      </c>
    </row>
    <row r="478" spans="1:10" x14ac:dyDescent="0.2">
      <c r="A478" s="194" t="s">
        <v>927</v>
      </c>
      <c r="B478" s="195" t="s">
        <v>942</v>
      </c>
      <c r="C478" s="196">
        <v>1</v>
      </c>
      <c r="D478" s="200"/>
      <c r="E478" s="253"/>
      <c r="F478" s="253"/>
      <c r="G478" s="253"/>
      <c r="H478" s="253"/>
      <c r="I478" s="200"/>
    </row>
    <row r="479" spans="1:10" x14ac:dyDescent="0.2">
      <c r="A479" s="97" t="s">
        <v>928</v>
      </c>
      <c r="B479" s="98" t="s">
        <v>943</v>
      </c>
      <c r="C479" s="99">
        <v>1</v>
      </c>
      <c r="D479" s="94"/>
      <c r="E479" s="87"/>
      <c r="F479" s="87"/>
      <c r="G479" s="101"/>
      <c r="H479" s="101"/>
      <c r="I479" s="101"/>
    </row>
    <row r="480" spans="1:10" x14ac:dyDescent="0.2">
      <c r="A480" s="97" t="s">
        <v>929</v>
      </c>
      <c r="B480" s="98" t="s">
        <v>944</v>
      </c>
      <c r="C480" s="99">
        <v>1</v>
      </c>
      <c r="D480" s="94"/>
      <c r="E480" s="87"/>
      <c r="F480" s="87"/>
      <c r="G480" s="101"/>
      <c r="H480" s="101"/>
      <c r="I480" s="101"/>
    </row>
    <row r="481" spans="1:10" x14ac:dyDescent="0.2">
      <c r="A481" s="194" t="s">
        <v>930</v>
      </c>
      <c r="B481" s="195" t="s">
        <v>945</v>
      </c>
      <c r="C481" s="196">
        <v>1</v>
      </c>
      <c r="D481" s="200"/>
      <c r="E481" s="253"/>
      <c r="F481" s="253"/>
      <c r="G481" s="253"/>
      <c r="H481" s="253"/>
      <c r="I481" s="200"/>
      <c r="J481" s="84" t="s">
        <v>819</v>
      </c>
    </row>
    <row r="482" spans="1:10" x14ac:dyDescent="0.2">
      <c r="A482" s="194" t="s">
        <v>931</v>
      </c>
      <c r="B482" s="195" t="s">
        <v>946</v>
      </c>
      <c r="C482" s="196">
        <v>1</v>
      </c>
      <c r="D482" s="200"/>
      <c r="E482" s="266"/>
      <c r="F482" s="200"/>
      <c r="G482" s="253"/>
      <c r="H482" s="253"/>
      <c r="I482" s="200"/>
    </row>
    <row r="483" spans="1:10" x14ac:dyDescent="0.2">
      <c r="A483" s="97" t="s">
        <v>932</v>
      </c>
      <c r="B483" s="98" t="s">
        <v>947</v>
      </c>
      <c r="C483" s="99">
        <v>1</v>
      </c>
      <c r="D483" s="174"/>
      <c r="E483" s="174"/>
      <c r="F483" s="174"/>
      <c r="G483" s="174"/>
      <c r="H483" s="174"/>
      <c r="I483" s="174"/>
      <c r="J483" s="84" t="s">
        <v>894</v>
      </c>
    </row>
    <row r="484" spans="1:10" x14ac:dyDescent="0.2">
      <c r="A484" s="194" t="s">
        <v>933</v>
      </c>
      <c r="B484" s="195" t="s">
        <v>948</v>
      </c>
      <c r="C484" s="196">
        <v>1</v>
      </c>
      <c r="D484" s="200"/>
      <c r="E484" s="253"/>
      <c r="F484" s="253"/>
      <c r="G484" s="253"/>
      <c r="H484" s="253"/>
      <c r="I484" s="200"/>
      <c r="J484" s="84"/>
    </row>
    <row r="485" spans="1:10" x14ac:dyDescent="0.2">
      <c r="A485" s="194" t="s">
        <v>934</v>
      </c>
      <c r="B485" s="195" t="s">
        <v>949</v>
      </c>
      <c r="C485" s="196">
        <v>1</v>
      </c>
      <c r="D485" s="200"/>
      <c r="E485" s="253"/>
      <c r="F485" s="253"/>
      <c r="G485" s="253"/>
      <c r="H485" s="253"/>
      <c r="I485" s="200"/>
    </row>
    <row r="486" spans="1:10" x14ac:dyDescent="0.2">
      <c r="A486" s="97" t="s">
        <v>935</v>
      </c>
      <c r="B486" s="98" t="s">
        <v>950</v>
      </c>
      <c r="C486" s="99">
        <v>1</v>
      </c>
      <c r="D486" s="97"/>
      <c r="E486" s="97"/>
      <c r="F486" s="97"/>
      <c r="G486" s="97"/>
      <c r="H486" s="97"/>
      <c r="I486" s="97"/>
    </row>
    <row r="487" spans="1:10" x14ac:dyDescent="0.2">
      <c r="A487" s="194" t="s">
        <v>936</v>
      </c>
      <c r="B487" s="195" t="s">
        <v>951</v>
      </c>
      <c r="C487" s="196">
        <v>1</v>
      </c>
      <c r="D487" s="200"/>
      <c r="E487" s="253"/>
      <c r="F487" s="253"/>
      <c r="G487" s="253"/>
      <c r="H487" s="253"/>
      <c r="I487" s="200"/>
    </row>
    <row r="488" spans="1:10" x14ac:dyDescent="0.2">
      <c r="A488" s="97" t="s">
        <v>937</v>
      </c>
      <c r="B488" s="98" t="s">
        <v>952</v>
      </c>
      <c r="C488" s="99">
        <v>1</v>
      </c>
      <c r="D488" s="101"/>
      <c r="E488" s="87"/>
      <c r="F488" s="87"/>
      <c r="G488" s="101"/>
      <c r="H488" s="101"/>
      <c r="I488" s="94"/>
    </row>
    <row r="489" spans="1:10" x14ac:dyDescent="0.2">
      <c r="A489" s="97" t="s">
        <v>938</v>
      </c>
      <c r="B489" s="98" t="s">
        <v>953</v>
      </c>
      <c r="C489" s="99">
        <v>1</v>
      </c>
      <c r="D489" s="94"/>
      <c r="E489" s="87"/>
      <c r="F489" s="87"/>
      <c r="G489" s="101"/>
      <c r="H489" s="101"/>
      <c r="I489" s="94"/>
    </row>
    <row r="490" spans="1:10" x14ac:dyDescent="0.2">
      <c r="A490" s="194" t="s">
        <v>939</v>
      </c>
      <c r="B490" s="195" t="s">
        <v>954</v>
      </c>
      <c r="C490" s="196">
        <v>1</v>
      </c>
      <c r="D490" s="253"/>
      <c r="E490" s="253"/>
      <c r="F490" s="253"/>
      <c r="G490" s="253"/>
      <c r="H490" s="253"/>
      <c r="I490" s="200"/>
    </row>
    <row r="491" spans="1:10" ht="13.5" customHeight="1" x14ac:dyDescent="0.2">
      <c r="A491" s="194" t="s">
        <v>1163</v>
      </c>
      <c r="B491" s="195" t="s">
        <v>1164</v>
      </c>
      <c r="C491" s="196">
        <v>1</v>
      </c>
      <c r="D491" s="253"/>
      <c r="E491" s="253"/>
      <c r="F491" s="253"/>
      <c r="G491" s="253"/>
      <c r="H491" s="253"/>
      <c r="I491" s="200"/>
    </row>
    <row r="492" spans="1:10" x14ac:dyDescent="0.2">
      <c r="A492" s="194" t="s">
        <v>1165</v>
      </c>
      <c r="B492" s="195" t="s">
        <v>1166</v>
      </c>
      <c r="C492" s="196">
        <v>1</v>
      </c>
      <c r="D492" s="253"/>
      <c r="E492" s="266"/>
      <c r="F492" s="253"/>
      <c r="G492" s="253"/>
      <c r="H492" s="253"/>
      <c r="I492" s="200"/>
      <c r="J492" s="84" t="s">
        <v>702</v>
      </c>
    </row>
    <row r="493" spans="1:10" x14ac:dyDescent="0.2">
      <c r="A493" s="194" t="s">
        <v>1167</v>
      </c>
      <c r="B493" s="195" t="s">
        <v>1168</v>
      </c>
      <c r="C493" s="196">
        <v>1</v>
      </c>
      <c r="D493" s="253"/>
      <c r="E493" s="266"/>
      <c r="F493" s="253"/>
      <c r="G493" s="253"/>
      <c r="H493" s="253"/>
      <c r="I493" s="200"/>
    </row>
    <row r="494" spans="1:10" x14ac:dyDescent="0.2">
      <c r="A494" s="194" t="s">
        <v>1169</v>
      </c>
      <c r="B494" s="195" t="s">
        <v>1170</v>
      </c>
      <c r="C494" s="196">
        <v>1</v>
      </c>
      <c r="D494" s="253"/>
      <c r="E494" s="266"/>
      <c r="F494" s="253"/>
      <c r="G494" s="253"/>
      <c r="H494" s="253"/>
      <c r="I494" s="200"/>
    </row>
    <row r="495" spans="1:10" x14ac:dyDescent="0.2">
      <c r="A495" s="194" t="s">
        <v>1171</v>
      </c>
      <c r="B495" s="195" t="s">
        <v>1172</v>
      </c>
      <c r="C495" s="196">
        <v>0.6</v>
      </c>
      <c r="D495" s="253"/>
      <c r="E495" s="266"/>
      <c r="F495" s="253"/>
      <c r="G495" s="253"/>
      <c r="H495" s="253"/>
      <c r="I495" s="200"/>
    </row>
    <row r="496" spans="1:10" x14ac:dyDescent="0.2">
      <c r="A496" s="194" t="s">
        <v>1173</v>
      </c>
      <c r="B496" s="195" t="s">
        <v>1174</v>
      </c>
      <c r="C496" s="196">
        <v>1</v>
      </c>
      <c r="D496" s="253"/>
      <c r="E496" s="266"/>
      <c r="F496" s="253"/>
      <c r="G496" s="253"/>
      <c r="H496" s="253"/>
      <c r="I496" s="200"/>
      <c r="J496" s="84"/>
    </row>
    <row r="497" spans="1:10" x14ac:dyDescent="0.2">
      <c r="A497" s="194" t="s">
        <v>1175</v>
      </c>
      <c r="B497" s="195" t="s">
        <v>1176</v>
      </c>
      <c r="C497" s="196">
        <v>1</v>
      </c>
      <c r="D497" s="253"/>
      <c r="E497" s="266"/>
      <c r="F497" s="253"/>
      <c r="G497" s="253"/>
      <c r="H497" s="253"/>
      <c r="I497" s="200"/>
    </row>
    <row r="498" spans="1:10" x14ac:dyDescent="0.2">
      <c r="A498" s="97" t="s">
        <v>1177</v>
      </c>
      <c r="B498" s="98" t="s">
        <v>1178</v>
      </c>
      <c r="C498" s="99">
        <v>1</v>
      </c>
      <c r="D498" s="101"/>
      <c r="E498" s="87"/>
      <c r="F498" s="87"/>
      <c r="G498" s="101"/>
      <c r="H498" s="101"/>
      <c r="I498" s="94"/>
    </row>
    <row r="499" spans="1:10" x14ac:dyDescent="0.2">
      <c r="A499" s="194" t="s">
        <v>1179</v>
      </c>
      <c r="B499" s="195" t="s">
        <v>1180</v>
      </c>
      <c r="C499" s="196">
        <v>1</v>
      </c>
      <c r="D499" s="253"/>
      <c r="E499" s="266"/>
      <c r="F499" s="253"/>
      <c r="G499" s="253"/>
      <c r="H499" s="253"/>
      <c r="I499" s="200"/>
    </row>
    <row r="500" spans="1:10" x14ac:dyDescent="0.2">
      <c r="A500" s="97" t="s">
        <v>1181</v>
      </c>
      <c r="B500" s="98" t="s">
        <v>1182</v>
      </c>
      <c r="C500" s="99">
        <v>1</v>
      </c>
      <c r="D500" s="101"/>
      <c r="E500" s="87"/>
      <c r="F500" s="87"/>
      <c r="G500" s="101"/>
      <c r="H500" s="101"/>
      <c r="I500" s="94"/>
      <c r="J500" s="84"/>
    </row>
    <row r="501" spans="1:10" x14ac:dyDescent="0.2">
      <c r="A501" s="97" t="s">
        <v>1183</v>
      </c>
      <c r="B501" s="98" t="s">
        <v>1184</v>
      </c>
      <c r="C501" s="99">
        <v>1</v>
      </c>
      <c r="D501" s="101"/>
      <c r="E501" s="87"/>
      <c r="F501" s="87"/>
      <c r="G501" s="101"/>
      <c r="H501" s="101"/>
      <c r="I501" s="94"/>
      <c r="J501" s="84"/>
    </row>
    <row r="502" spans="1:10" x14ac:dyDescent="0.2">
      <c r="A502" s="97" t="s">
        <v>1185</v>
      </c>
      <c r="B502" s="98" t="s">
        <v>1186</v>
      </c>
      <c r="C502" s="99">
        <v>1</v>
      </c>
      <c r="D502" s="101"/>
      <c r="E502" s="87"/>
      <c r="F502" s="87"/>
      <c r="G502" s="101"/>
      <c r="H502" s="101"/>
      <c r="I502" s="94"/>
    </row>
    <row r="503" spans="1:10" x14ac:dyDescent="0.2">
      <c r="A503" s="97" t="s">
        <v>1187</v>
      </c>
      <c r="B503" s="98" t="s">
        <v>1188</v>
      </c>
      <c r="C503" s="99">
        <v>1</v>
      </c>
      <c r="D503" s="101"/>
      <c r="E503" s="87"/>
      <c r="F503" s="87"/>
      <c r="G503" s="101"/>
      <c r="H503" s="101"/>
      <c r="I503" s="94"/>
    </row>
    <row r="504" spans="1:10" ht="12" customHeight="1" x14ac:dyDescent="0.2">
      <c r="A504" s="172" t="s">
        <v>1189</v>
      </c>
      <c r="B504" s="231" t="s">
        <v>1190</v>
      </c>
      <c r="C504" s="99">
        <v>1</v>
      </c>
      <c r="D504" s="101"/>
      <c r="E504" s="87"/>
      <c r="F504" s="87"/>
      <c r="G504" s="101"/>
      <c r="H504" s="101"/>
      <c r="I504" s="101"/>
      <c r="J504" s="41" t="s">
        <v>702</v>
      </c>
    </row>
    <row r="505" spans="1:10" x14ac:dyDescent="0.2">
      <c r="A505" s="172" t="s">
        <v>1191</v>
      </c>
      <c r="B505" s="231" t="s">
        <v>1192</v>
      </c>
      <c r="C505" s="99">
        <v>1</v>
      </c>
      <c r="D505" s="101"/>
      <c r="E505" s="87"/>
      <c r="F505" s="87"/>
      <c r="G505" s="101"/>
      <c r="H505" s="101"/>
      <c r="I505" s="94"/>
    </row>
    <row r="506" spans="1:10" x14ac:dyDescent="0.2">
      <c r="A506" s="172" t="s">
        <v>1193</v>
      </c>
      <c r="B506" s="231" t="s">
        <v>1194</v>
      </c>
      <c r="C506" s="99">
        <v>0.6</v>
      </c>
      <c r="D506" s="101"/>
      <c r="E506" s="87"/>
      <c r="F506" s="87"/>
      <c r="G506" s="101"/>
      <c r="H506" s="101"/>
      <c r="I506" s="94"/>
    </row>
    <row r="507" spans="1:10" x14ac:dyDescent="0.2">
      <c r="A507" s="172" t="s">
        <v>1195</v>
      </c>
      <c r="B507" s="231" t="s">
        <v>947</v>
      </c>
      <c r="C507" s="99">
        <v>1</v>
      </c>
      <c r="D507" s="101"/>
      <c r="E507" s="87"/>
      <c r="F507" s="87"/>
      <c r="G507" s="101"/>
      <c r="H507" s="101"/>
      <c r="I507" s="94"/>
    </row>
    <row r="508" spans="1:10" x14ac:dyDescent="0.2">
      <c r="A508" s="267" t="s">
        <v>56</v>
      </c>
      <c r="B508" s="268"/>
      <c r="C508" s="269"/>
      <c r="D508" s="78">
        <f>SUM(D405:D507)</f>
        <v>0</v>
      </c>
      <c r="E508" s="78">
        <f t="shared" ref="E508:I508" si="16">SUM(E405:E507)</f>
        <v>0</v>
      </c>
      <c r="F508" s="78">
        <f t="shared" si="16"/>
        <v>0</v>
      </c>
      <c r="G508" s="78">
        <f t="shared" si="16"/>
        <v>0</v>
      </c>
      <c r="H508" s="78">
        <f t="shared" si="16"/>
        <v>0</v>
      </c>
      <c r="I508" s="78">
        <f t="shared" si="16"/>
        <v>0</v>
      </c>
    </row>
    <row r="509" spans="1:10" x14ac:dyDescent="0.2">
      <c r="A509" s="84"/>
      <c r="B509" s="84"/>
      <c r="C509" s="84"/>
      <c r="D509" s="84"/>
      <c r="E509" s="84"/>
      <c r="F509" s="84"/>
      <c r="G509" s="84"/>
      <c r="H509" s="84"/>
      <c r="I509" s="84"/>
    </row>
    <row r="510" spans="1:10" ht="13.5" thickBot="1" x14ac:dyDescent="0.25">
      <c r="A510" s="84"/>
      <c r="B510" s="84"/>
      <c r="C510" s="84"/>
      <c r="D510" s="84"/>
      <c r="E510" s="84"/>
      <c r="F510" s="84"/>
      <c r="G510" s="84"/>
      <c r="H510" s="84"/>
      <c r="I510" s="84"/>
    </row>
    <row r="511" spans="1:10" ht="13.5" thickBot="1" x14ac:dyDescent="0.25">
      <c r="A511" s="54" t="s">
        <v>647</v>
      </c>
      <c r="B511" s="84"/>
      <c r="C511" s="48"/>
      <c r="D511" s="48"/>
      <c r="E511" s="47"/>
      <c r="F511" s="84"/>
      <c r="G511" s="63" t="s">
        <v>56</v>
      </c>
      <c r="H511" s="64"/>
      <c r="I511" s="65">
        <f>SUM(D524:I524)</f>
        <v>0</v>
      </c>
    </row>
    <row r="512" spans="1:10" x14ac:dyDescent="0.2">
      <c r="A512" s="84"/>
      <c r="B512" s="133"/>
      <c r="C512" s="134"/>
      <c r="D512" s="134"/>
      <c r="E512" s="135"/>
      <c r="F512" s="84"/>
      <c r="G512" s="84"/>
      <c r="H512" s="84"/>
      <c r="I512" s="84"/>
    </row>
    <row r="513" spans="1:10" ht="25.5" x14ac:dyDescent="0.2">
      <c r="A513" s="67" t="s">
        <v>82</v>
      </c>
      <c r="B513" s="67" t="s">
        <v>83</v>
      </c>
      <c r="C513" s="67" t="s">
        <v>172</v>
      </c>
      <c r="D513" s="57" t="s">
        <v>85</v>
      </c>
      <c r="E513" s="57" t="s">
        <v>1022</v>
      </c>
      <c r="F513" s="58" t="s">
        <v>86</v>
      </c>
      <c r="G513" s="57" t="s">
        <v>87</v>
      </c>
      <c r="H513" s="57" t="s">
        <v>88</v>
      </c>
      <c r="I513" s="57" t="s">
        <v>89</v>
      </c>
    </row>
    <row r="514" spans="1:10" x14ac:dyDescent="0.2">
      <c r="A514" s="97" t="s">
        <v>436</v>
      </c>
      <c r="B514" s="98" t="s">
        <v>437</v>
      </c>
      <c r="C514" s="99">
        <v>1</v>
      </c>
      <c r="D514" s="99"/>
      <c r="E514" s="87"/>
      <c r="F514" s="88"/>
      <c r="G514" s="101"/>
      <c r="H514" s="101"/>
      <c r="I514" s="101"/>
    </row>
    <row r="515" spans="1:10" x14ac:dyDescent="0.2">
      <c r="A515" s="97" t="s">
        <v>438</v>
      </c>
      <c r="B515" s="98" t="s">
        <v>439</v>
      </c>
      <c r="C515" s="99">
        <v>1</v>
      </c>
      <c r="D515" s="115"/>
      <c r="E515" s="101"/>
      <c r="F515" s="101"/>
      <c r="G515" s="101"/>
      <c r="H515" s="101"/>
      <c r="I515" s="101"/>
      <c r="J515" s="84" t="s">
        <v>702</v>
      </c>
    </row>
    <row r="516" spans="1:10" x14ac:dyDescent="0.2">
      <c r="A516" s="97" t="s">
        <v>726</v>
      </c>
      <c r="B516" s="98" t="s">
        <v>798</v>
      </c>
      <c r="C516" s="99">
        <v>1</v>
      </c>
      <c r="D516" s="115"/>
      <c r="E516" s="101"/>
      <c r="F516" s="101"/>
      <c r="G516" s="101"/>
      <c r="H516" s="101"/>
      <c r="I516" s="101"/>
    </row>
    <row r="517" spans="1:10" x14ac:dyDescent="0.2">
      <c r="A517" s="97" t="s">
        <v>727</v>
      </c>
      <c r="B517" s="98" t="s">
        <v>799</v>
      </c>
      <c r="C517" s="99">
        <v>1</v>
      </c>
      <c r="D517" s="115"/>
      <c r="E517" s="101"/>
      <c r="F517" s="101"/>
      <c r="G517" s="101"/>
      <c r="H517" s="101"/>
      <c r="I517" s="101"/>
    </row>
    <row r="518" spans="1:10" x14ac:dyDescent="0.2">
      <c r="A518" s="97" t="s">
        <v>1196</v>
      </c>
      <c r="B518" s="98" t="s">
        <v>1197</v>
      </c>
      <c r="C518" s="99">
        <v>1</v>
      </c>
      <c r="D518" s="97"/>
      <c r="E518" s="97"/>
      <c r="F518" s="97"/>
      <c r="G518" s="97"/>
      <c r="H518" s="97"/>
      <c r="I518" s="97"/>
    </row>
    <row r="519" spans="1:10" x14ac:dyDescent="0.2">
      <c r="A519" s="97" t="s">
        <v>1280</v>
      </c>
      <c r="B519" s="98" t="s">
        <v>1279</v>
      </c>
      <c r="C519" s="99">
        <v>1</v>
      </c>
      <c r="D519" s="97"/>
      <c r="E519" s="90"/>
      <c r="F519" s="97"/>
      <c r="G519" s="97"/>
      <c r="H519" s="97"/>
      <c r="I519" s="97"/>
    </row>
    <row r="520" spans="1:10" x14ac:dyDescent="0.2">
      <c r="A520" s="97" t="s">
        <v>440</v>
      </c>
      <c r="B520" s="98" t="s">
        <v>800</v>
      </c>
      <c r="C520" s="99">
        <v>1</v>
      </c>
      <c r="D520" s="115"/>
      <c r="E520" s="87"/>
      <c r="F520" s="87"/>
      <c r="G520" s="101"/>
      <c r="H520" s="101"/>
      <c r="I520" s="101"/>
    </row>
    <row r="521" spans="1:10" x14ac:dyDescent="0.2">
      <c r="A521" s="97" t="s">
        <v>441</v>
      </c>
      <c r="B521" s="98" t="s">
        <v>442</v>
      </c>
      <c r="C521" s="99">
        <v>1</v>
      </c>
      <c r="D521" s="99"/>
      <c r="E521" s="90"/>
      <c r="F521" s="90"/>
      <c r="G521" s="90"/>
      <c r="H521" s="101"/>
      <c r="I521" s="90"/>
    </row>
    <row r="522" spans="1:10" x14ac:dyDescent="0.2">
      <c r="A522" s="97" t="s">
        <v>884</v>
      </c>
      <c r="B522" s="119" t="s">
        <v>885</v>
      </c>
      <c r="C522" s="99">
        <v>0.8</v>
      </c>
      <c r="D522" s="99"/>
      <c r="E522" s="90"/>
      <c r="F522" s="88"/>
      <c r="G522" s="94"/>
      <c r="H522" s="101"/>
      <c r="I522" s="102"/>
    </row>
    <row r="523" spans="1:10" ht="13.5" thickBot="1" x14ac:dyDescent="0.25">
      <c r="A523" s="172" t="s">
        <v>1198</v>
      </c>
      <c r="B523" s="270" t="s">
        <v>1199</v>
      </c>
      <c r="C523" s="99">
        <v>0.66</v>
      </c>
      <c r="D523" s="99"/>
      <c r="E523" s="90"/>
      <c r="F523" s="88"/>
      <c r="G523" s="94"/>
      <c r="H523" s="101"/>
      <c r="I523" s="90"/>
    </row>
    <row r="524" spans="1:10" ht="13.5" thickBot="1" x14ac:dyDescent="0.25">
      <c r="A524" s="59" t="s">
        <v>56</v>
      </c>
      <c r="B524" s="137"/>
      <c r="C524" s="138"/>
      <c r="D524" s="62">
        <f>SUM(D514:D523)</f>
        <v>0</v>
      </c>
      <c r="E524" s="62">
        <f t="shared" ref="E524:I524" si="17">SUM(E514:E523)</f>
        <v>0</v>
      </c>
      <c r="F524" s="62">
        <f t="shared" si="17"/>
        <v>0</v>
      </c>
      <c r="G524" s="62">
        <f t="shared" si="17"/>
        <v>0</v>
      </c>
      <c r="H524" s="62">
        <f t="shared" si="17"/>
        <v>0</v>
      </c>
      <c r="I524" s="62">
        <f t="shared" si="17"/>
        <v>0</v>
      </c>
    </row>
    <row r="525" spans="1:10" ht="13.5" thickBot="1" x14ac:dyDescent="0.25">
      <c r="A525" s="84"/>
      <c r="B525" s="84"/>
      <c r="C525" s="84"/>
      <c r="D525" s="84"/>
      <c r="E525" s="84"/>
      <c r="F525" s="84"/>
      <c r="G525" s="84"/>
      <c r="H525" s="84"/>
      <c r="I525" s="84"/>
    </row>
    <row r="526" spans="1:10" ht="13.5" thickBot="1" x14ac:dyDescent="0.25">
      <c r="A526" s="54" t="s">
        <v>35</v>
      </c>
      <c r="B526" s="84"/>
      <c r="C526" s="48"/>
      <c r="D526" s="48"/>
      <c r="E526" s="47"/>
      <c r="F526" s="84"/>
      <c r="G526" s="63" t="s">
        <v>56</v>
      </c>
      <c r="H526" s="64"/>
      <c r="I526" s="65">
        <f>SUM(D538:I538)</f>
        <v>0</v>
      </c>
      <c r="J526" s="84" t="s">
        <v>702</v>
      </c>
    </row>
    <row r="527" spans="1:10" x14ac:dyDescent="0.2">
      <c r="A527" s="84"/>
      <c r="B527" s="133"/>
      <c r="C527" s="134"/>
      <c r="D527" s="134"/>
      <c r="E527" s="135"/>
      <c r="F527" s="84"/>
      <c r="G527" s="84"/>
      <c r="H527" s="84"/>
      <c r="I527" s="84"/>
    </row>
    <row r="528" spans="1:10" ht="25.5" x14ac:dyDescent="0.2">
      <c r="A528" s="75" t="s">
        <v>82</v>
      </c>
      <c r="B528" s="75" t="s">
        <v>83</v>
      </c>
      <c r="C528" s="75" t="s">
        <v>172</v>
      </c>
      <c r="D528" s="57" t="s">
        <v>173</v>
      </c>
      <c r="E528" s="57" t="s">
        <v>1022</v>
      </c>
      <c r="F528" s="58" t="s">
        <v>86</v>
      </c>
      <c r="G528" s="57" t="s">
        <v>87</v>
      </c>
      <c r="H528" s="57" t="s">
        <v>88</v>
      </c>
      <c r="I528" s="57" t="s">
        <v>89</v>
      </c>
    </row>
    <row r="529" spans="1:10" x14ac:dyDescent="0.2">
      <c r="A529" s="121" t="s">
        <v>443</v>
      </c>
      <c r="B529" s="122" t="s">
        <v>444</v>
      </c>
      <c r="C529" s="123">
        <v>1</v>
      </c>
      <c r="D529" s="118"/>
      <c r="E529" s="118"/>
      <c r="F529" s="124"/>
      <c r="G529" s="118"/>
      <c r="H529" s="113"/>
      <c r="I529" s="101"/>
    </row>
    <row r="530" spans="1:10" x14ac:dyDescent="0.2">
      <c r="A530" s="121" t="s">
        <v>886</v>
      </c>
      <c r="B530" s="122" t="s">
        <v>445</v>
      </c>
      <c r="C530" s="123">
        <v>0.4</v>
      </c>
      <c r="D530" s="114"/>
      <c r="E530" s="114"/>
      <c r="F530" s="124"/>
      <c r="G530" s="94"/>
      <c r="H530" s="118"/>
      <c r="I530" s="101"/>
    </row>
    <row r="531" spans="1:10" x14ac:dyDescent="0.2">
      <c r="A531" s="121" t="s">
        <v>446</v>
      </c>
      <c r="B531" s="122" t="s">
        <v>447</v>
      </c>
      <c r="C531" s="123">
        <v>1</v>
      </c>
      <c r="D531" s="118"/>
      <c r="E531" s="118"/>
      <c r="F531" s="124"/>
      <c r="G531" s="118"/>
      <c r="H531" s="118"/>
      <c r="I531" s="101"/>
    </row>
    <row r="532" spans="1:10" x14ac:dyDescent="0.2">
      <c r="A532" s="121" t="s">
        <v>887</v>
      </c>
      <c r="B532" s="122" t="s">
        <v>888</v>
      </c>
      <c r="C532" s="123">
        <v>1</v>
      </c>
      <c r="D532" s="118"/>
      <c r="E532" s="101"/>
      <c r="F532" s="124"/>
      <c r="G532" s="118"/>
      <c r="H532" s="118"/>
      <c r="I532" s="136"/>
    </row>
    <row r="533" spans="1:10" x14ac:dyDescent="0.2">
      <c r="A533" s="121" t="s">
        <v>889</v>
      </c>
      <c r="B533" s="122" t="s">
        <v>677</v>
      </c>
      <c r="C533" s="123">
        <v>1</v>
      </c>
      <c r="D533" s="118"/>
      <c r="E533" s="118"/>
      <c r="F533" s="124"/>
      <c r="G533" s="118"/>
      <c r="H533" s="118"/>
      <c r="I533" s="101"/>
    </row>
    <row r="534" spans="1:10" x14ac:dyDescent="0.2">
      <c r="A534" s="121" t="s">
        <v>448</v>
      </c>
      <c r="B534" s="122">
        <v>501527</v>
      </c>
      <c r="C534" s="123">
        <v>0.6</v>
      </c>
      <c r="D534" s="115"/>
      <c r="E534" s="101"/>
      <c r="F534" s="124"/>
      <c r="G534" s="118"/>
      <c r="H534" s="118"/>
      <c r="I534" s="136"/>
    </row>
    <row r="535" spans="1:10" x14ac:dyDescent="0.2">
      <c r="A535" s="271" t="s">
        <v>1200</v>
      </c>
      <c r="B535" s="272" t="s">
        <v>1201</v>
      </c>
      <c r="C535" s="273">
        <v>1</v>
      </c>
      <c r="D535" s="274"/>
      <c r="E535" s="90"/>
      <c r="F535" s="275"/>
      <c r="G535" s="126"/>
      <c r="H535" s="126"/>
      <c r="I535" s="102"/>
    </row>
    <row r="536" spans="1:10" ht="12.75" customHeight="1" x14ac:dyDescent="0.2">
      <c r="A536" s="276" t="s">
        <v>1202</v>
      </c>
      <c r="B536" s="277" t="s">
        <v>1203</v>
      </c>
      <c r="C536" s="123">
        <v>1</v>
      </c>
      <c r="D536" s="115"/>
      <c r="E536" s="101"/>
      <c r="F536" s="124"/>
      <c r="G536" s="118"/>
      <c r="H536" s="118"/>
      <c r="I536" s="101"/>
    </row>
    <row r="537" spans="1:10" x14ac:dyDescent="0.2">
      <c r="A537" s="276" t="s">
        <v>1204</v>
      </c>
      <c r="B537" s="122"/>
      <c r="C537" s="123">
        <f>0.4*(5/12)</f>
        <v>0.16666666666666669</v>
      </c>
      <c r="D537" s="115"/>
      <c r="E537" s="101"/>
      <c r="F537" s="124"/>
      <c r="G537" s="118"/>
      <c r="H537" s="118"/>
      <c r="I537" s="101"/>
      <c r="J537" s="84" t="s">
        <v>702</v>
      </c>
    </row>
    <row r="538" spans="1:10" ht="13.5" thickBot="1" x14ac:dyDescent="0.25">
      <c r="A538" s="278" t="s">
        <v>56</v>
      </c>
      <c r="B538" s="279"/>
      <c r="C538" s="280"/>
      <c r="D538" s="281">
        <f>SUM(D529:D537)</f>
        <v>0</v>
      </c>
      <c r="E538" s="281">
        <f t="shared" ref="E538:I538" si="18">SUM(E529:E537)</f>
        <v>0</v>
      </c>
      <c r="F538" s="281">
        <f t="shared" si="18"/>
        <v>0</v>
      </c>
      <c r="G538" s="281">
        <f t="shared" si="18"/>
        <v>0</v>
      </c>
      <c r="H538" s="281">
        <f t="shared" si="18"/>
        <v>0</v>
      </c>
      <c r="I538" s="281">
        <f t="shared" si="18"/>
        <v>0</v>
      </c>
    </row>
    <row r="539" spans="1:10" ht="13.5" thickBot="1" x14ac:dyDescent="0.25">
      <c r="A539" s="84"/>
      <c r="B539" s="84"/>
      <c r="C539" s="84"/>
      <c r="D539" s="84"/>
      <c r="E539" s="84"/>
      <c r="F539" s="84"/>
      <c r="G539" s="84"/>
      <c r="H539" s="84"/>
      <c r="I539" s="84"/>
    </row>
    <row r="540" spans="1:10" ht="13.5" thickBot="1" x14ac:dyDescent="0.25">
      <c r="A540" s="54" t="s">
        <v>36</v>
      </c>
      <c r="B540" s="43"/>
      <c r="C540" s="48"/>
      <c r="D540" s="48"/>
      <c r="E540" s="47"/>
      <c r="F540" s="84"/>
      <c r="G540" s="63" t="s">
        <v>56</v>
      </c>
      <c r="H540" s="64"/>
      <c r="I540" s="65">
        <f>SUM(D561:I561)</f>
        <v>0</v>
      </c>
    </row>
    <row r="541" spans="1:10" x14ac:dyDescent="0.2">
      <c r="A541" s="84"/>
      <c r="B541" s="133"/>
      <c r="C541" s="134"/>
      <c r="D541" s="134"/>
      <c r="E541" s="135"/>
      <c r="F541" s="84"/>
      <c r="G541" s="84"/>
      <c r="H541" s="84"/>
      <c r="I541" s="84"/>
    </row>
    <row r="542" spans="1:10" ht="25.5" x14ac:dyDescent="0.2">
      <c r="A542" s="67" t="s">
        <v>82</v>
      </c>
      <c r="B542" s="67" t="s">
        <v>83</v>
      </c>
      <c r="C542" s="192" t="s">
        <v>172</v>
      </c>
      <c r="D542" s="193" t="s">
        <v>173</v>
      </c>
      <c r="E542" s="193" t="s">
        <v>1022</v>
      </c>
      <c r="F542" s="58" t="s">
        <v>86</v>
      </c>
      <c r="G542" s="193" t="s">
        <v>87</v>
      </c>
      <c r="H542" s="193" t="s">
        <v>88</v>
      </c>
      <c r="I542" s="193" t="s">
        <v>89</v>
      </c>
    </row>
    <row r="543" spans="1:10" x14ac:dyDescent="0.2">
      <c r="A543" s="97" t="s">
        <v>1205</v>
      </c>
      <c r="B543" s="98" t="s">
        <v>1206</v>
      </c>
      <c r="C543" s="99">
        <v>1</v>
      </c>
      <c r="D543" s="97"/>
      <c r="E543" s="97"/>
      <c r="F543" s="97"/>
      <c r="G543" s="97"/>
      <c r="H543" s="97"/>
      <c r="I543" s="97"/>
    </row>
    <row r="544" spans="1:10" x14ac:dyDescent="0.2">
      <c r="A544" s="97" t="s">
        <v>449</v>
      </c>
      <c r="B544" s="98" t="s">
        <v>450</v>
      </c>
      <c r="C544" s="99">
        <v>1</v>
      </c>
      <c r="D544" s="99"/>
      <c r="E544" s="87"/>
      <c r="F544" s="87"/>
      <c r="G544" s="97"/>
      <c r="H544" s="97"/>
      <c r="I544" s="101"/>
    </row>
    <row r="545" spans="1:10" x14ac:dyDescent="0.2">
      <c r="A545" s="97" t="s">
        <v>451</v>
      </c>
      <c r="B545" s="98" t="s">
        <v>452</v>
      </c>
      <c r="C545" s="99">
        <v>1</v>
      </c>
      <c r="D545" s="99"/>
      <c r="E545" s="87"/>
      <c r="F545" s="87"/>
      <c r="G545" s="94"/>
      <c r="H545" s="113"/>
      <c r="I545" s="101"/>
    </row>
    <row r="546" spans="1:10" x14ac:dyDescent="0.2">
      <c r="A546" s="97" t="s">
        <v>453</v>
      </c>
      <c r="B546" s="98" t="s">
        <v>454</v>
      </c>
      <c r="C546" s="99">
        <v>1</v>
      </c>
      <c r="D546" s="115"/>
      <c r="E546" s="101"/>
      <c r="F546" s="101"/>
      <c r="G546" s="97"/>
      <c r="H546" s="97"/>
      <c r="I546" s="101"/>
    </row>
    <row r="547" spans="1:10" x14ac:dyDescent="0.2">
      <c r="A547" s="97" t="s">
        <v>455</v>
      </c>
      <c r="B547" s="119" t="s">
        <v>456</v>
      </c>
      <c r="C547" s="99">
        <v>0.5</v>
      </c>
      <c r="D547" s="99"/>
      <c r="E547" s="87"/>
      <c r="F547" s="87"/>
      <c r="G547" s="94"/>
      <c r="H547" s="97"/>
      <c r="I547" s="101"/>
    </row>
    <row r="548" spans="1:10" x14ac:dyDescent="0.2">
      <c r="A548" s="97" t="s">
        <v>457</v>
      </c>
      <c r="B548" s="98" t="s">
        <v>458</v>
      </c>
      <c r="C548" s="99">
        <v>1</v>
      </c>
      <c r="D548" s="99"/>
      <c r="E548" s="87"/>
      <c r="F548" s="87"/>
      <c r="G548" s="94"/>
      <c r="H548" s="113"/>
      <c r="I548" s="101"/>
    </row>
    <row r="549" spans="1:10" x14ac:dyDescent="0.2">
      <c r="A549" s="97" t="s">
        <v>459</v>
      </c>
      <c r="B549" s="98" t="s">
        <v>460</v>
      </c>
      <c r="C549" s="99">
        <v>1</v>
      </c>
      <c r="D549" s="99"/>
      <c r="E549" s="101"/>
      <c r="F549" s="87"/>
      <c r="G549" s="97"/>
      <c r="H549" s="113"/>
      <c r="I549" s="101"/>
    </row>
    <row r="550" spans="1:10" x14ac:dyDescent="0.2">
      <c r="A550" s="97" t="s">
        <v>461</v>
      </c>
      <c r="B550" s="98" t="s">
        <v>462</v>
      </c>
      <c r="C550" s="99">
        <v>0.6</v>
      </c>
      <c r="D550" s="99"/>
      <c r="E550" s="87"/>
      <c r="F550" s="87"/>
      <c r="G550" s="97"/>
      <c r="H550" s="97"/>
      <c r="I550" s="101"/>
    </row>
    <row r="551" spans="1:10" x14ac:dyDescent="0.2">
      <c r="A551" s="97" t="s">
        <v>463</v>
      </c>
      <c r="B551" s="98" t="s">
        <v>464</v>
      </c>
      <c r="C551" s="99">
        <v>1</v>
      </c>
      <c r="D551" s="115"/>
      <c r="E551" s="87"/>
      <c r="F551" s="87"/>
      <c r="G551" s="97"/>
      <c r="H551" s="97"/>
      <c r="I551" s="101"/>
    </row>
    <row r="552" spans="1:10" ht="14.25" customHeight="1" x14ac:dyDescent="0.2">
      <c r="A552" s="97" t="s">
        <v>465</v>
      </c>
      <c r="B552" s="98" t="s">
        <v>466</v>
      </c>
      <c r="C552" s="99">
        <v>0.6</v>
      </c>
      <c r="D552" s="99"/>
      <c r="E552" s="87"/>
      <c r="F552" s="87"/>
      <c r="G552" s="97"/>
      <c r="H552" s="97"/>
      <c r="I552" s="101"/>
    </row>
    <row r="553" spans="1:10" ht="14.25" customHeight="1" x14ac:dyDescent="0.2">
      <c r="A553" s="97" t="s">
        <v>467</v>
      </c>
      <c r="B553" s="98" t="s">
        <v>468</v>
      </c>
      <c r="C553" s="99">
        <v>0.5</v>
      </c>
      <c r="D553" s="99"/>
      <c r="E553" s="87"/>
      <c r="F553" s="87"/>
      <c r="G553" s="97"/>
      <c r="H553" s="97"/>
      <c r="I553" s="101"/>
    </row>
    <row r="554" spans="1:10" ht="14.25" customHeight="1" x14ac:dyDescent="0.2">
      <c r="A554" s="97" t="s">
        <v>469</v>
      </c>
      <c r="B554" s="98" t="s">
        <v>470</v>
      </c>
      <c r="C554" s="99">
        <v>1</v>
      </c>
      <c r="D554" s="99"/>
      <c r="E554" s="87"/>
      <c r="F554" s="87"/>
      <c r="G554" s="97"/>
      <c r="H554" s="97"/>
      <c r="I554" s="101"/>
    </row>
    <row r="555" spans="1:10" ht="14.25" customHeight="1" x14ac:dyDescent="0.2">
      <c r="A555" s="97" t="s">
        <v>471</v>
      </c>
      <c r="B555" s="98" t="s">
        <v>472</v>
      </c>
      <c r="C555" s="99">
        <v>1</v>
      </c>
      <c r="D555" s="92"/>
      <c r="E555" s="87"/>
      <c r="F555" s="87"/>
      <c r="G555" s="94"/>
      <c r="H555" s="113"/>
      <c r="I555" s="101"/>
    </row>
    <row r="556" spans="1:10" x14ac:dyDescent="0.2">
      <c r="A556" s="84" t="s">
        <v>780</v>
      </c>
      <c r="B556" s="98" t="s">
        <v>781</v>
      </c>
      <c r="C556" s="99">
        <v>1</v>
      </c>
      <c r="D556" s="101"/>
      <c r="E556" s="87"/>
      <c r="F556" s="101"/>
      <c r="G556" s="94"/>
      <c r="H556" s="113"/>
      <c r="I556" s="136"/>
    </row>
    <row r="557" spans="1:10" x14ac:dyDescent="0.2">
      <c r="A557" s="97" t="s">
        <v>1207</v>
      </c>
      <c r="B557" s="98" t="s">
        <v>1208</v>
      </c>
      <c r="C557" s="99">
        <v>1</v>
      </c>
      <c r="D557" s="97"/>
      <c r="E557" s="97"/>
      <c r="F557" s="97"/>
      <c r="G557" s="97"/>
      <c r="H557" s="97"/>
      <c r="I557" s="97"/>
      <c r="J557" s="84" t="s">
        <v>702</v>
      </c>
    </row>
    <row r="558" spans="1:10" x14ac:dyDescent="0.2">
      <c r="A558" s="97" t="s">
        <v>473</v>
      </c>
      <c r="B558" s="98" t="s">
        <v>474</v>
      </c>
      <c r="C558" s="99">
        <v>1</v>
      </c>
      <c r="D558" s="103"/>
      <c r="E558" s="88"/>
      <c r="F558" s="88"/>
      <c r="G558" s="116"/>
      <c r="H558" s="116"/>
      <c r="I558" s="101"/>
    </row>
    <row r="559" spans="1:10" x14ac:dyDescent="0.2">
      <c r="A559" s="172" t="s">
        <v>1209</v>
      </c>
      <c r="B559" s="98"/>
      <c r="C559" s="99">
        <v>1</v>
      </c>
      <c r="D559" s="101"/>
      <c r="E559" s="88"/>
      <c r="F559" s="88"/>
      <c r="G559" s="116"/>
      <c r="H559" s="116"/>
      <c r="I559" s="101"/>
    </row>
    <row r="560" spans="1:10" ht="13.5" thickBot="1" x14ac:dyDescent="0.25">
      <c r="A560" s="172" t="s">
        <v>1209</v>
      </c>
      <c r="B560" s="98"/>
      <c r="C560" s="99">
        <v>1</v>
      </c>
      <c r="D560" s="101"/>
      <c r="E560" s="88"/>
      <c r="F560" s="88"/>
      <c r="G560" s="116"/>
      <c r="H560" s="116"/>
      <c r="I560" s="101"/>
    </row>
    <row r="561" spans="1:10" ht="13.5" thickBot="1" x14ac:dyDescent="0.25">
      <c r="A561" s="59" t="s">
        <v>56</v>
      </c>
      <c r="B561" s="137"/>
      <c r="C561" s="138"/>
      <c r="D561" s="68">
        <f>SUM(D543:D560)</f>
        <v>0</v>
      </c>
      <c r="E561" s="68">
        <f t="shared" ref="E561:I561" si="19">SUM(E543:E560)</f>
        <v>0</v>
      </c>
      <c r="F561" s="68">
        <f t="shared" si="19"/>
        <v>0</v>
      </c>
      <c r="G561" s="68">
        <f t="shared" si="19"/>
        <v>0</v>
      </c>
      <c r="H561" s="68">
        <f t="shared" si="19"/>
        <v>0</v>
      </c>
      <c r="I561" s="68">
        <f t="shared" si="19"/>
        <v>0</v>
      </c>
    </row>
    <row r="562" spans="1:10" ht="13.5" thickBot="1" x14ac:dyDescent="0.25">
      <c r="A562" s="84"/>
      <c r="B562" s="84"/>
      <c r="C562" s="84"/>
      <c r="D562" s="84"/>
      <c r="E562" s="84"/>
      <c r="F562" s="84"/>
      <c r="G562" s="84"/>
      <c r="H562" s="84"/>
      <c r="I562" s="84"/>
    </row>
    <row r="563" spans="1:10" ht="13.5" thickBot="1" x14ac:dyDescent="0.25">
      <c r="A563" s="54" t="s">
        <v>37</v>
      </c>
      <c r="B563" s="84"/>
      <c r="C563" s="48"/>
      <c r="D563" s="48"/>
      <c r="E563" s="47"/>
      <c r="F563" s="84"/>
      <c r="G563" s="63" t="s">
        <v>56</v>
      </c>
      <c r="H563" s="64"/>
      <c r="I563" s="65">
        <f>SUM(D577:I577)</f>
        <v>0</v>
      </c>
    </row>
    <row r="564" spans="1:10" ht="12.75" customHeight="1" x14ac:dyDescent="0.2">
      <c r="A564" s="84"/>
      <c r="B564" s="133"/>
      <c r="C564" s="134"/>
      <c r="D564" s="134"/>
      <c r="E564" s="135"/>
      <c r="F564" s="84"/>
      <c r="G564" s="84"/>
      <c r="H564" s="84"/>
      <c r="I564" s="84"/>
    </row>
    <row r="565" spans="1:10" ht="25.5" x14ac:dyDescent="0.2">
      <c r="A565" s="50" t="s">
        <v>82</v>
      </c>
      <c r="B565" s="50" t="s">
        <v>83</v>
      </c>
      <c r="C565" s="50" t="s">
        <v>172</v>
      </c>
      <c r="D565" s="44" t="s">
        <v>173</v>
      </c>
      <c r="E565" s="44" t="s">
        <v>1022</v>
      </c>
      <c r="F565" s="45" t="s">
        <v>86</v>
      </c>
      <c r="G565" s="44" t="s">
        <v>87</v>
      </c>
      <c r="H565" s="44" t="s">
        <v>88</v>
      </c>
      <c r="I565" s="44" t="s">
        <v>89</v>
      </c>
    </row>
    <row r="566" spans="1:10" x14ac:dyDescent="0.2">
      <c r="A566" s="282" t="s">
        <v>475</v>
      </c>
      <c r="B566" s="98" t="s">
        <v>476</v>
      </c>
      <c r="C566" s="99">
        <v>1</v>
      </c>
      <c r="D566" s="115"/>
      <c r="E566" s="283"/>
      <c r="F566" s="45"/>
      <c r="G566" s="44"/>
      <c r="H566" s="44"/>
      <c r="I566" s="90"/>
    </row>
    <row r="567" spans="1:10" x14ac:dyDescent="0.2">
      <c r="A567" s="282" t="s">
        <v>477</v>
      </c>
      <c r="B567" s="98" t="s">
        <v>478</v>
      </c>
      <c r="C567" s="99">
        <v>1</v>
      </c>
      <c r="D567" s="115"/>
      <c r="E567" s="283"/>
      <c r="F567" s="88"/>
      <c r="G567" s="44"/>
      <c r="H567" s="44"/>
      <c r="I567" s="90"/>
    </row>
    <row r="568" spans="1:10" x14ac:dyDescent="0.2">
      <c r="A568" s="97" t="s">
        <v>479</v>
      </c>
      <c r="B568" s="98" t="s">
        <v>480</v>
      </c>
      <c r="C568" s="99">
        <v>1</v>
      </c>
      <c r="D568" s="99"/>
      <c r="E568" s="87"/>
      <c r="F568" s="87"/>
      <c r="G568" s="97"/>
      <c r="H568" s="97"/>
      <c r="I568" s="90"/>
    </row>
    <row r="569" spans="1:10" ht="14.25" customHeight="1" x14ac:dyDescent="0.2">
      <c r="A569" s="97" t="s">
        <v>481</v>
      </c>
      <c r="B569" s="284" t="s">
        <v>482</v>
      </c>
      <c r="C569" s="99">
        <v>0.5</v>
      </c>
      <c r="D569" s="99"/>
      <c r="E569" s="97"/>
      <c r="F569" s="285"/>
      <c r="G569" s="87"/>
      <c r="H569" s="87"/>
      <c r="I569" s="90"/>
      <c r="J569" s="84" t="s">
        <v>702</v>
      </c>
    </row>
    <row r="570" spans="1:10" ht="13.5" customHeight="1" x14ac:dyDescent="0.2">
      <c r="A570" s="97" t="s">
        <v>483</v>
      </c>
      <c r="B570" s="98" t="s">
        <v>484</v>
      </c>
      <c r="C570" s="99">
        <v>1</v>
      </c>
      <c r="D570" s="103"/>
      <c r="E570" s="88"/>
      <c r="F570" s="87"/>
      <c r="G570" s="97"/>
      <c r="H570" s="90"/>
      <c r="I570" s="90"/>
    </row>
    <row r="571" spans="1:10" x14ac:dyDescent="0.2">
      <c r="A571" s="97" t="s">
        <v>485</v>
      </c>
      <c r="B571" s="231" t="s">
        <v>486</v>
      </c>
      <c r="C571" s="99">
        <v>1</v>
      </c>
      <c r="D571" s="103"/>
      <c r="E571" s="104"/>
      <c r="F571" s="87"/>
      <c r="G571" s="87"/>
      <c r="H571" s="87"/>
      <c r="I571" s="90"/>
    </row>
    <row r="572" spans="1:10" x14ac:dyDescent="0.2">
      <c r="A572" s="97" t="s">
        <v>487</v>
      </c>
      <c r="B572" s="98" t="s">
        <v>488</v>
      </c>
      <c r="C572" s="99">
        <v>0.5</v>
      </c>
      <c r="D572" s="103"/>
      <c r="E572" s="88"/>
      <c r="F572" s="136"/>
      <c r="G572" s="87"/>
      <c r="H572" s="87"/>
      <c r="I572" s="90"/>
    </row>
    <row r="573" spans="1:10" x14ac:dyDescent="0.2">
      <c r="A573" s="97" t="s">
        <v>489</v>
      </c>
      <c r="B573" s="98" t="s">
        <v>728</v>
      </c>
      <c r="C573" s="99">
        <v>1</v>
      </c>
      <c r="D573" s="115"/>
      <c r="E573" s="88"/>
      <c r="F573" s="90"/>
      <c r="G573" s="90"/>
      <c r="H573" s="90"/>
      <c r="I573" s="90"/>
    </row>
    <row r="574" spans="1:10" x14ac:dyDescent="0.2">
      <c r="A574" s="97" t="s">
        <v>490</v>
      </c>
      <c r="B574" s="98" t="s">
        <v>491</v>
      </c>
      <c r="C574" s="99">
        <v>1</v>
      </c>
      <c r="D574" s="99"/>
      <c r="E574" s="87"/>
      <c r="F574" s="87"/>
      <c r="G574" s="97"/>
      <c r="H574" s="97"/>
      <c r="I574" s="90"/>
    </row>
    <row r="575" spans="1:10" x14ac:dyDescent="0.2">
      <c r="A575" s="97" t="s">
        <v>492</v>
      </c>
      <c r="B575" s="110" t="s">
        <v>493</v>
      </c>
      <c r="C575" s="86">
        <v>1</v>
      </c>
      <c r="D575" s="86"/>
      <c r="E575" s="93"/>
      <c r="F575" s="93"/>
      <c r="G575" s="116"/>
      <c r="H575" s="116"/>
      <c r="I575" s="90"/>
    </row>
    <row r="576" spans="1:10" ht="13.5" thickBot="1" x14ac:dyDescent="0.25">
      <c r="A576" s="260" t="s">
        <v>890</v>
      </c>
      <c r="B576" s="110" t="s">
        <v>891</v>
      </c>
      <c r="C576" s="86">
        <v>1</v>
      </c>
      <c r="D576" s="86"/>
      <c r="E576" s="93"/>
      <c r="F576" s="93"/>
      <c r="G576" s="116"/>
      <c r="H576" s="116"/>
      <c r="I576" s="90"/>
    </row>
    <row r="577" spans="1:10" x14ac:dyDescent="0.2">
      <c r="A577" s="286" t="s">
        <v>56</v>
      </c>
      <c r="B577" s="287"/>
      <c r="C577" s="288"/>
      <c r="D577" s="289">
        <f>SUM(D566:D575)</f>
        <v>0</v>
      </c>
      <c r="E577" s="289">
        <f>SUM(E566:E575)</f>
        <v>0</v>
      </c>
      <c r="F577" s="289">
        <f>SUM(F566:F575)</f>
        <v>0</v>
      </c>
      <c r="G577" s="289">
        <f>SUM(G566:G575)</f>
        <v>0</v>
      </c>
      <c r="H577" s="289">
        <f>SUM(H566:H575)</f>
        <v>0</v>
      </c>
      <c r="I577" s="289">
        <f>SUM(I566:I576)</f>
        <v>0</v>
      </c>
    </row>
    <row r="578" spans="1:10" ht="13.5" thickBot="1" x14ac:dyDescent="0.25">
      <c r="A578" s="84"/>
      <c r="B578" s="84"/>
      <c r="C578" s="84"/>
      <c r="D578" s="84"/>
      <c r="E578" s="84"/>
      <c r="F578" s="84"/>
      <c r="G578" s="84"/>
      <c r="H578" s="84"/>
      <c r="I578" s="84"/>
    </row>
    <row r="579" spans="1:10" ht="13.5" thickBot="1" x14ac:dyDescent="0.25">
      <c r="A579" s="54" t="s">
        <v>645</v>
      </c>
      <c r="B579" s="84"/>
      <c r="C579" s="48"/>
      <c r="D579" s="48"/>
      <c r="E579" s="47"/>
      <c r="F579" s="84"/>
      <c r="G579" s="63" t="s">
        <v>56</v>
      </c>
      <c r="H579" s="64"/>
      <c r="I579" s="65">
        <f>SUM(D593:I593)</f>
        <v>0</v>
      </c>
    </row>
    <row r="580" spans="1:10" ht="15" customHeight="1" x14ac:dyDescent="0.2">
      <c r="A580" s="84"/>
      <c r="B580" s="133"/>
      <c r="C580" s="134"/>
      <c r="D580" s="134"/>
      <c r="E580" s="135"/>
      <c r="F580" s="84"/>
      <c r="G580" s="84"/>
      <c r="H580" s="84"/>
      <c r="I580" s="84"/>
      <c r="J580" s="84" t="s">
        <v>702</v>
      </c>
    </row>
    <row r="581" spans="1:10" ht="25.5" x14ac:dyDescent="0.2">
      <c r="A581" s="50" t="s">
        <v>82</v>
      </c>
      <c r="B581" s="50" t="s">
        <v>83</v>
      </c>
      <c r="C581" s="50" t="s">
        <v>172</v>
      </c>
      <c r="D581" s="44" t="s">
        <v>173</v>
      </c>
      <c r="E581" s="44" t="s">
        <v>1022</v>
      </c>
      <c r="F581" s="45" t="s">
        <v>86</v>
      </c>
      <c r="G581" s="44" t="s">
        <v>87</v>
      </c>
      <c r="H581" s="44" t="s">
        <v>88</v>
      </c>
      <c r="I581" s="44" t="s">
        <v>89</v>
      </c>
    </row>
    <row r="582" spans="1:10" x14ac:dyDescent="0.2">
      <c r="A582" s="282"/>
      <c r="B582" s="98"/>
      <c r="C582" s="99"/>
      <c r="D582" s="115"/>
      <c r="E582" s="283"/>
      <c r="F582" s="45"/>
      <c r="G582" s="44"/>
      <c r="H582" s="44"/>
      <c r="I582" s="87"/>
    </row>
    <row r="583" spans="1:10" x14ac:dyDescent="0.2">
      <c r="A583" s="282"/>
      <c r="B583" s="98"/>
      <c r="C583" s="99"/>
      <c r="D583" s="115"/>
      <c r="E583" s="283"/>
      <c r="F583" s="88"/>
      <c r="G583" s="44"/>
      <c r="H583" s="44"/>
      <c r="I583" s="44"/>
    </row>
    <row r="584" spans="1:10" x14ac:dyDescent="0.2">
      <c r="A584" s="97"/>
      <c r="B584" s="98"/>
      <c r="C584" s="99"/>
      <c r="D584" s="99"/>
      <c r="E584" s="87"/>
      <c r="F584" s="87"/>
      <c r="G584" s="97"/>
      <c r="H584" s="97"/>
      <c r="I584" s="87"/>
    </row>
    <row r="585" spans="1:10" x14ac:dyDescent="0.2">
      <c r="A585" s="97"/>
      <c r="B585" s="284"/>
      <c r="C585" s="99"/>
      <c r="D585" s="99"/>
      <c r="E585" s="97"/>
      <c r="F585" s="285"/>
      <c r="G585" s="87"/>
      <c r="H585" s="87"/>
      <c r="I585" s="87"/>
    </row>
    <row r="586" spans="1:10" x14ac:dyDescent="0.2">
      <c r="A586" s="97"/>
      <c r="B586" s="98"/>
      <c r="C586" s="99"/>
      <c r="D586" s="99"/>
      <c r="E586" s="87"/>
      <c r="F586" s="87"/>
      <c r="G586" s="97"/>
      <c r="H586" s="113"/>
      <c r="I586" s="87"/>
    </row>
    <row r="587" spans="1:10" x14ac:dyDescent="0.2">
      <c r="A587" s="97"/>
      <c r="B587" s="98"/>
      <c r="C587" s="99"/>
      <c r="D587" s="103"/>
      <c r="E587" s="88"/>
      <c r="F587" s="87"/>
      <c r="G587" s="97"/>
      <c r="H587" s="113"/>
      <c r="I587" s="87"/>
    </row>
    <row r="588" spans="1:10" x14ac:dyDescent="0.2">
      <c r="A588" s="97"/>
      <c r="B588" s="98"/>
      <c r="C588" s="99"/>
      <c r="D588" s="103"/>
      <c r="E588" s="104"/>
      <c r="F588" s="87"/>
      <c r="G588" s="87"/>
      <c r="H588" s="87"/>
      <c r="I588" s="87"/>
    </row>
    <row r="589" spans="1:10" x14ac:dyDescent="0.2">
      <c r="A589" s="97"/>
      <c r="B589" s="98"/>
      <c r="C589" s="99"/>
      <c r="D589" s="103"/>
      <c r="E589" s="88"/>
      <c r="F589" s="136"/>
      <c r="G589" s="87"/>
      <c r="H589" s="87"/>
      <c r="I589" s="87"/>
    </row>
    <row r="590" spans="1:10" x14ac:dyDescent="0.2">
      <c r="A590" s="97"/>
      <c r="B590" s="98"/>
      <c r="C590" s="99"/>
      <c r="D590" s="115"/>
      <c r="E590" s="88"/>
      <c r="F590" s="136"/>
      <c r="G590" s="87"/>
      <c r="H590" s="87"/>
      <c r="I590" s="87"/>
    </row>
    <row r="591" spans="1:10" x14ac:dyDescent="0.2">
      <c r="A591" s="97"/>
      <c r="B591" s="98"/>
      <c r="C591" s="99"/>
      <c r="D591" s="99"/>
      <c r="E591" s="87"/>
      <c r="F591" s="87"/>
      <c r="G591" s="97"/>
      <c r="H591" s="97"/>
      <c r="I591" s="87"/>
    </row>
    <row r="592" spans="1:10" ht="13.5" thickBot="1" x14ac:dyDescent="0.25">
      <c r="A592" s="97"/>
      <c r="B592" s="110"/>
      <c r="C592" s="86"/>
      <c r="D592" s="86"/>
      <c r="E592" s="93"/>
      <c r="F592" s="93"/>
      <c r="G592" s="116"/>
      <c r="H592" s="116"/>
      <c r="I592" s="87"/>
    </row>
    <row r="593" spans="1:10" ht="13.5" thickBot="1" x14ac:dyDescent="0.25">
      <c r="A593" s="59" t="s">
        <v>56</v>
      </c>
      <c r="B593" s="268"/>
      <c r="C593" s="269"/>
      <c r="D593" s="78">
        <f t="shared" ref="D593:I593" si="20">SUM(D582:D592)</f>
        <v>0</v>
      </c>
      <c r="E593" s="78">
        <f t="shared" si="20"/>
        <v>0</v>
      </c>
      <c r="F593" s="78">
        <f t="shared" si="20"/>
        <v>0</v>
      </c>
      <c r="G593" s="78">
        <f t="shared" si="20"/>
        <v>0</v>
      </c>
      <c r="H593" s="78">
        <f t="shared" si="20"/>
        <v>0</v>
      </c>
      <c r="I593" s="78">
        <f t="shared" si="20"/>
        <v>0</v>
      </c>
    </row>
    <row r="594" spans="1:10" ht="13.5" thickBot="1" x14ac:dyDescent="0.25">
      <c r="A594" s="84"/>
      <c r="B594" s="84"/>
      <c r="C594" s="84"/>
      <c r="D594" s="84"/>
      <c r="E594" s="84"/>
      <c r="F594" s="84"/>
      <c r="G594" s="84"/>
      <c r="H594" s="84"/>
      <c r="I594" s="84"/>
    </row>
    <row r="595" spans="1:10" ht="13.5" thickBot="1" x14ac:dyDescent="0.25">
      <c r="A595" s="54" t="s">
        <v>38</v>
      </c>
      <c r="B595" s="84"/>
      <c r="C595" s="48"/>
      <c r="D595" s="48"/>
      <c r="E595" s="47"/>
      <c r="F595" s="84"/>
      <c r="G595" s="63" t="s">
        <v>56</v>
      </c>
      <c r="H595" s="64"/>
      <c r="I595" s="65">
        <f>SUM(D610:I610)</f>
        <v>0</v>
      </c>
    </row>
    <row r="596" spans="1:10" ht="13.5" customHeight="1" x14ac:dyDescent="0.2">
      <c r="A596" s="84"/>
      <c r="B596" s="133"/>
      <c r="C596" s="134"/>
      <c r="D596" s="134"/>
      <c r="E596" s="135"/>
      <c r="F596" s="84"/>
      <c r="G596" s="84"/>
      <c r="H596" s="84"/>
      <c r="I596" s="84"/>
      <c r="J596" s="84" t="s">
        <v>702</v>
      </c>
    </row>
    <row r="597" spans="1:10" ht="25.5" x14ac:dyDescent="0.2">
      <c r="A597" s="67" t="s">
        <v>82</v>
      </c>
      <c r="B597" s="67" t="s">
        <v>83</v>
      </c>
      <c r="C597" s="67" t="s">
        <v>172</v>
      </c>
      <c r="D597" s="57" t="s">
        <v>173</v>
      </c>
      <c r="E597" s="57" t="s">
        <v>1022</v>
      </c>
      <c r="F597" s="58" t="s">
        <v>86</v>
      </c>
      <c r="G597" s="57" t="s">
        <v>87</v>
      </c>
      <c r="H597" s="57" t="s">
        <v>88</v>
      </c>
      <c r="I597" s="57" t="s">
        <v>89</v>
      </c>
    </row>
    <row r="598" spans="1:10" x14ac:dyDescent="0.2">
      <c r="A598" s="97" t="s">
        <v>494</v>
      </c>
      <c r="B598" s="98" t="s">
        <v>495</v>
      </c>
      <c r="C598" s="99">
        <v>1</v>
      </c>
      <c r="D598" s="99"/>
      <c r="E598" s="101"/>
      <c r="F598" s="127"/>
      <c r="G598" s="113"/>
      <c r="H598" s="113"/>
      <c r="I598" s="90"/>
    </row>
    <row r="599" spans="1:10" x14ac:dyDescent="0.2">
      <c r="A599" s="112" t="s">
        <v>496</v>
      </c>
      <c r="B599" s="98" t="s">
        <v>497</v>
      </c>
      <c r="C599" s="99">
        <v>0.4</v>
      </c>
      <c r="D599" s="92"/>
      <c r="E599" s="90"/>
      <c r="F599" s="90"/>
      <c r="G599" s="120"/>
      <c r="H599" s="128"/>
      <c r="I599" s="128"/>
      <c r="J599" s="84"/>
    </row>
    <row r="600" spans="1:10" x14ac:dyDescent="0.2">
      <c r="A600" s="97" t="s">
        <v>498</v>
      </c>
      <c r="B600" s="98" t="s">
        <v>499</v>
      </c>
      <c r="C600" s="99">
        <v>1</v>
      </c>
      <c r="D600" s="92"/>
      <c r="E600" s="113"/>
      <c r="F600" s="90"/>
      <c r="G600" s="90"/>
      <c r="H600" s="90"/>
      <c r="I600" s="128"/>
      <c r="J600" s="84"/>
    </row>
    <row r="601" spans="1:10" x14ac:dyDescent="0.2">
      <c r="A601" s="97" t="s">
        <v>500</v>
      </c>
      <c r="B601" s="98" t="s">
        <v>501</v>
      </c>
      <c r="C601" s="99">
        <v>0.2</v>
      </c>
      <c r="D601" s="99"/>
      <c r="E601" s="113"/>
      <c r="F601" s="90"/>
      <c r="G601" s="120"/>
      <c r="H601" s="128"/>
      <c r="I601" s="128"/>
      <c r="J601" s="84"/>
    </row>
    <row r="602" spans="1:10" x14ac:dyDescent="0.2">
      <c r="A602" s="97" t="s">
        <v>502</v>
      </c>
      <c r="B602" s="98" t="s">
        <v>782</v>
      </c>
      <c r="C602" s="99">
        <v>0.44619999999999999</v>
      </c>
      <c r="D602" s="99"/>
      <c r="E602" s="90"/>
      <c r="F602" s="90"/>
      <c r="G602" s="120"/>
      <c r="H602" s="129"/>
      <c r="I602" s="128"/>
      <c r="J602" s="84"/>
    </row>
    <row r="603" spans="1:10" x14ac:dyDescent="0.2">
      <c r="A603" s="97" t="s">
        <v>729</v>
      </c>
      <c r="B603" s="98" t="s">
        <v>783</v>
      </c>
      <c r="C603" s="99">
        <v>0.5</v>
      </c>
      <c r="D603" s="99"/>
      <c r="E603" s="120"/>
      <c r="F603" s="107"/>
      <c r="G603" s="120"/>
      <c r="H603" s="129"/>
      <c r="I603" s="90"/>
      <c r="J603" s="84"/>
    </row>
    <row r="604" spans="1:10" x14ac:dyDescent="0.2">
      <c r="A604" s="97" t="s">
        <v>892</v>
      </c>
      <c r="B604" s="98" t="s">
        <v>893</v>
      </c>
      <c r="C604" s="99">
        <v>0.6</v>
      </c>
      <c r="D604" s="90"/>
      <c r="E604" s="90"/>
      <c r="F604" s="107"/>
      <c r="G604" s="120"/>
      <c r="H604" s="129"/>
      <c r="I604" s="102"/>
      <c r="J604" s="84"/>
    </row>
    <row r="605" spans="1:10" x14ac:dyDescent="0.2">
      <c r="A605" s="97" t="s">
        <v>503</v>
      </c>
      <c r="B605" s="98" t="s">
        <v>784</v>
      </c>
      <c r="C605" s="99">
        <v>0.2</v>
      </c>
      <c r="D605" s="90"/>
      <c r="E605" s="90"/>
      <c r="F605" s="130"/>
      <c r="G605" s="120"/>
      <c r="H605" s="129"/>
      <c r="I605" s="128"/>
      <c r="J605" s="84"/>
    </row>
    <row r="606" spans="1:10" x14ac:dyDescent="0.2">
      <c r="A606" s="97" t="s">
        <v>504</v>
      </c>
      <c r="B606" s="98" t="s">
        <v>785</v>
      </c>
      <c r="C606" s="99">
        <v>0.8</v>
      </c>
      <c r="D606" s="115"/>
      <c r="E606" s="113"/>
      <c r="F606" s="90"/>
      <c r="G606" s="90"/>
      <c r="H606" s="129"/>
      <c r="I606" s="128"/>
      <c r="J606" s="84"/>
    </row>
    <row r="607" spans="1:10" x14ac:dyDescent="0.2">
      <c r="A607" s="116" t="s">
        <v>1210</v>
      </c>
      <c r="B607" s="110" t="s">
        <v>1211</v>
      </c>
      <c r="C607" s="86">
        <v>0.6</v>
      </c>
      <c r="D607" s="274"/>
      <c r="E607" s="120"/>
      <c r="F607" s="90"/>
      <c r="G607" s="120"/>
      <c r="H607" s="129"/>
      <c r="I607" s="129"/>
      <c r="J607" s="84"/>
    </row>
    <row r="608" spans="1:10" x14ac:dyDescent="0.2">
      <c r="A608" s="97" t="s">
        <v>820</v>
      </c>
      <c r="B608" s="119" t="s">
        <v>821</v>
      </c>
      <c r="C608" s="99">
        <v>1</v>
      </c>
      <c r="D608" s="101"/>
      <c r="E608" s="101"/>
      <c r="F608" s="101"/>
      <c r="G608" s="113"/>
      <c r="H608" s="128"/>
      <c r="I608" s="128"/>
    </row>
    <row r="609" spans="1:10" x14ac:dyDescent="0.2">
      <c r="A609" s="172" t="s">
        <v>1212</v>
      </c>
      <c r="B609" s="270" t="s">
        <v>1213</v>
      </c>
      <c r="C609" s="99">
        <v>1</v>
      </c>
      <c r="D609" s="101"/>
      <c r="E609" s="101"/>
      <c r="F609" s="101"/>
      <c r="G609" s="101"/>
      <c r="H609" s="128"/>
      <c r="I609" s="128"/>
    </row>
    <row r="610" spans="1:10" ht="13.5" thickBot="1" x14ac:dyDescent="0.25">
      <c r="A610" s="69" t="s">
        <v>56</v>
      </c>
      <c r="B610" s="223"/>
      <c r="C610" s="224"/>
      <c r="D610" s="72">
        <f>SUM(D598:D609)</f>
        <v>0</v>
      </c>
      <c r="E610" s="72">
        <f t="shared" ref="E610:I610" si="21">SUM(E598:E609)</f>
        <v>0</v>
      </c>
      <c r="F610" s="72">
        <f t="shared" si="21"/>
        <v>0</v>
      </c>
      <c r="G610" s="72">
        <f t="shared" si="21"/>
        <v>0</v>
      </c>
      <c r="H610" s="72">
        <f t="shared" si="21"/>
        <v>0</v>
      </c>
      <c r="I610" s="72">
        <f t="shared" si="21"/>
        <v>0</v>
      </c>
      <c r="J610" s="84" t="s">
        <v>702</v>
      </c>
    </row>
    <row r="611" spans="1:10" ht="13.5" thickBot="1" x14ac:dyDescent="0.25">
      <c r="A611" s="84"/>
      <c r="B611" s="84"/>
      <c r="C611" s="84"/>
      <c r="D611" s="84"/>
      <c r="E611" s="84"/>
      <c r="F611" s="84"/>
      <c r="G611" s="84"/>
      <c r="H611" s="84"/>
      <c r="I611" s="84"/>
    </row>
    <row r="612" spans="1:10" ht="29.25" customHeight="1" thickBot="1" x14ac:dyDescent="0.25">
      <c r="A612" s="54" t="s">
        <v>39</v>
      </c>
      <c r="B612" s="84"/>
      <c r="C612" s="48"/>
      <c r="D612" s="48"/>
      <c r="E612" s="47"/>
      <c r="F612" s="84"/>
      <c r="G612" s="63" t="s">
        <v>56</v>
      </c>
      <c r="H612" s="64"/>
      <c r="I612" s="65">
        <f>SUM(D622:I622)</f>
        <v>0</v>
      </c>
    </row>
    <row r="613" spans="1:10" x14ac:dyDescent="0.2">
      <c r="A613" s="84"/>
      <c r="B613" s="133"/>
      <c r="C613" s="134"/>
      <c r="D613" s="134"/>
      <c r="E613" s="135"/>
      <c r="F613" s="84"/>
      <c r="G613" s="84"/>
      <c r="H613" s="84"/>
      <c r="I613" s="84"/>
    </row>
    <row r="614" spans="1:10" ht="25.5" x14ac:dyDescent="0.2">
      <c r="A614" s="67" t="s">
        <v>82</v>
      </c>
      <c r="B614" s="67" t="s">
        <v>83</v>
      </c>
      <c r="C614" s="67" t="s">
        <v>172</v>
      </c>
      <c r="D614" s="57" t="s">
        <v>85</v>
      </c>
      <c r="E614" s="57" t="s">
        <v>978</v>
      </c>
      <c r="F614" s="58" t="s">
        <v>86</v>
      </c>
      <c r="G614" s="57" t="s">
        <v>87</v>
      </c>
      <c r="H614" s="57" t="s">
        <v>88</v>
      </c>
      <c r="I614" s="57" t="s">
        <v>89</v>
      </c>
    </row>
    <row r="615" spans="1:10" x14ac:dyDescent="0.2">
      <c r="A615" s="97" t="s">
        <v>505</v>
      </c>
      <c r="B615" s="98" t="s">
        <v>506</v>
      </c>
      <c r="C615" s="99">
        <v>1</v>
      </c>
      <c r="D615" s="92"/>
      <c r="E615" s="104"/>
      <c r="F615" s="90"/>
      <c r="G615" s="90"/>
      <c r="H615" s="90"/>
      <c r="I615" s="90"/>
    </row>
    <row r="616" spans="1:10" x14ac:dyDescent="0.2">
      <c r="A616" s="97" t="s">
        <v>507</v>
      </c>
      <c r="B616" s="98" t="s">
        <v>508</v>
      </c>
      <c r="C616" s="99">
        <v>1</v>
      </c>
      <c r="D616" s="92"/>
      <c r="E616" s="104"/>
      <c r="F616" s="90"/>
      <c r="G616" s="90"/>
      <c r="H616" s="90"/>
      <c r="I616" s="90"/>
    </row>
    <row r="617" spans="1:10" x14ac:dyDescent="0.2">
      <c r="A617" s="97" t="s">
        <v>509</v>
      </c>
      <c r="B617" s="98" t="s">
        <v>510</v>
      </c>
      <c r="C617" s="99">
        <v>1</v>
      </c>
      <c r="D617" s="92"/>
      <c r="E617" s="90"/>
      <c r="F617" s="89"/>
      <c r="G617" s="90"/>
      <c r="H617" s="90"/>
      <c r="I617" s="94"/>
    </row>
    <row r="618" spans="1:10" x14ac:dyDescent="0.2">
      <c r="A618" s="97" t="s">
        <v>511</v>
      </c>
      <c r="B618" s="98" t="s">
        <v>741</v>
      </c>
      <c r="C618" s="99">
        <v>1</v>
      </c>
      <c r="D618" s="92"/>
      <c r="E618" s="90"/>
      <c r="F618" s="90"/>
      <c r="G618" s="90"/>
      <c r="H618" s="90"/>
      <c r="I618" s="90"/>
    </row>
    <row r="619" spans="1:10" x14ac:dyDescent="0.2">
      <c r="A619" s="97" t="s">
        <v>512</v>
      </c>
      <c r="B619" s="98" t="s">
        <v>513</v>
      </c>
      <c r="C619" s="99">
        <v>0.6</v>
      </c>
      <c r="D619" s="92"/>
      <c r="E619" s="87"/>
      <c r="F619" s="107"/>
      <c r="G619" s="90"/>
      <c r="H619" s="90"/>
      <c r="I619" s="90"/>
    </row>
    <row r="620" spans="1:10" x14ac:dyDescent="0.2">
      <c r="A620" s="97" t="s">
        <v>895</v>
      </c>
      <c r="B620" s="98" t="s">
        <v>742</v>
      </c>
      <c r="C620" s="99">
        <v>1</v>
      </c>
      <c r="D620" s="90"/>
      <c r="E620" s="87"/>
      <c r="F620" s="90"/>
      <c r="G620" s="90"/>
      <c r="H620" s="90"/>
      <c r="I620" s="90"/>
    </row>
    <row r="621" spans="1:10" ht="13.5" thickBot="1" x14ac:dyDescent="0.25">
      <c r="A621" s="97" t="s">
        <v>896</v>
      </c>
      <c r="B621" s="98" t="s">
        <v>743</v>
      </c>
      <c r="C621" s="99">
        <v>1</v>
      </c>
      <c r="D621" s="90"/>
      <c r="E621" s="87"/>
      <c r="F621" s="290"/>
      <c r="G621" s="90"/>
      <c r="H621" s="90"/>
      <c r="I621" s="94"/>
    </row>
    <row r="622" spans="1:10" ht="13.5" thickBot="1" x14ac:dyDescent="0.25">
      <c r="A622" s="59" t="s">
        <v>56</v>
      </c>
      <c r="B622" s="137"/>
      <c r="C622" s="138"/>
      <c r="D622" s="68">
        <f t="shared" ref="D622:I622" si="22">SUM(D615:D621)</f>
        <v>0</v>
      </c>
      <c r="E622" s="68">
        <f t="shared" si="22"/>
        <v>0</v>
      </c>
      <c r="F622" s="68">
        <f t="shared" si="22"/>
        <v>0</v>
      </c>
      <c r="G622" s="68">
        <f t="shared" si="22"/>
        <v>0</v>
      </c>
      <c r="H622" s="68">
        <f t="shared" si="22"/>
        <v>0</v>
      </c>
      <c r="I622" s="68">
        <f t="shared" si="22"/>
        <v>0</v>
      </c>
      <c r="J622" s="84" t="s">
        <v>702</v>
      </c>
    </row>
    <row r="623" spans="1:10" ht="13.5" thickBot="1" x14ac:dyDescent="0.25">
      <c r="A623" s="84"/>
      <c r="B623" s="84"/>
      <c r="C623" s="84"/>
      <c r="D623" s="84"/>
      <c r="E623" s="84"/>
      <c r="F623" s="84"/>
      <c r="G623" s="84"/>
      <c r="H623" s="84"/>
      <c r="I623" s="84"/>
    </row>
    <row r="624" spans="1:10" ht="13.5" thickBot="1" x14ac:dyDescent="0.25">
      <c r="A624" s="54" t="s">
        <v>40</v>
      </c>
      <c r="B624" s="84"/>
      <c r="C624" s="48"/>
      <c r="D624" s="48"/>
      <c r="E624" s="47"/>
      <c r="F624" s="84"/>
      <c r="G624" s="63" t="s">
        <v>56</v>
      </c>
      <c r="H624" s="64"/>
      <c r="I624" s="65">
        <f>SUM(D633:I633)</f>
        <v>0</v>
      </c>
    </row>
    <row r="625" spans="1:10" x14ac:dyDescent="0.2">
      <c r="A625" s="84"/>
      <c r="B625" s="133"/>
      <c r="C625" s="134"/>
      <c r="D625" s="134"/>
      <c r="E625" s="135"/>
      <c r="F625" s="84"/>
      <c r="G625" s="84"/>
      <c r="H625" s="84"/>
      <c r="I625" s="84"/>
    </row>
    <row r="626" spans="1:10" ht="25.5" x14ac:dyDescent="0.2">
      <c r="A626" s="67" t="s">
        <v>82</v>
      </c>
      <c r="B626" s="67" t="s">
        <v>83</v>
      </c>
      <c r="C626" s="67" t="s">
        <v>172</v>
      </c>
      <c r="D626" s="57" t="s">
        <v>173</v>
      </c>
      <c r="E626" s="57" t="s">
        <v>1022</v>
      </c>
      <c r="F626" s="58" t="s">
        <v>86</v>
      </c>
      <c r="G626" s="57" t="s">
        <v>87</v>
      </c>
      <c r="H626" s="57" t="s">
        <v>88</v>
      </c>
      <c r="I626" s="57" t="s">
        <v>89</v>
      </c>
    </row>
    <row r="627" spans="1:10" x14ac:dyDescent="0.2">
      <c r="A627" s="97" t="s">
        <v>514</v>
      </c>
      <c r="B627" s="98" t="s">
        <v>515</v>
      </c>
      <c r="C627" s="99">
        <v>1</v>
      </c>
      <c r="D627" s="92"/>
      <c r="E627" s="104"/>
      <c r="F627" s="107"/>
      <c r="G627" s="88"/>
      <c r="H627" s="88"/>
      <c r="I627" s="102"/>
      <c r="J627" s="145"/>
    </row>
    <row r="628" spans="1:10" x14ac:dyDescent="0.2">
      <c r="A628" s="97" t="s">
        <v>666</v>
      </c>
      <c r="B628" s="98" t="s">
        <v>516</v>
      </c>
      <c r="C628" s="99">
        <v>1</v>
      </c>
      <c r="D628" s="103"/>
      <c r="E628" s="104"/>
      <c r="F628" s="88"/>
      <c r="G628" s="88"/>
      <c r="H628" s="88"/>
      <c r="I628" s="102"/>
      <c r="J628" s="145"/>
    </row>
    <row r="629" spans="1:10" x14ac:dyDescent="0.2">
      <c r="A629" s="97" t="s">
        <v>897</v>
      </c>
      <c r="B629" s="98" t="s">
        <v>668</v>
      </c>
      <c r="C629" s="99">
        <v>1</v>
      </c>
      <c r="D629" s="103"/>
      <c r="E629" s="113"/>
      <c r="F629" s="90"/>
      <c r="G629" s="90"/>
      <c r="H629" s="102"/>
      <c r="I629" s="102"/>
      <c r="J629" s="83"/>
    </row>
    <row r="630" spans="1:10" x14ac:dyDescent="0.2">
      <c r="A630" s="194" t="s">
        <v>730</v>
      </c>
      <c r="B630" s="195" t="s">
        <v>731</v>
      </c>
      <c r="C630" s="196">
        <v>1</v>
      </c>
      <c r="D630" s="291"/>
      <c r="E630" s="246"/>
      <c r="F630" s="292"/>
      <c r="G630" s="293"/>
      <c r="H630" s="293"/>
      <c r="I630" s="293"/>
    </row>
    <row r="631" spans="1:10" x14ac:dyDescent="0.2">
      <c r="A631" s="112" t="s">
        <v>667</v>
      </c>
      <c r="B631" s="98" t="s">
        <v>669</v>
      </c>
      <c r="C631" s="99">
        <v>1</v>
      </c>
      <c r="D631" s="99"/>
      <c r="E631" s="101"/>
      <c r="F631" s="87"/>
      <c r="G631" s="87"/>
      <c r="H631" s="87"/>
      <c r="I631" s="102"/>
    </row>
    <row r="632" spans="1:10" ht="13.5" thickBot="1" x14ac:dyDescent="0.25">
      <c r="A632" s="294" t="s">
        <v>898</v>
      </c>
      <c r="B632" s="244" t="s">
        <v>899</v>
      </c>
      <c r="C632" s="245">
        <v>1</v>
      </c>
      <c r="D632" s="245"/>
      <c r="E632" s="293"/>
      <c r="F632" s="293"/>
      <c r="G632" s="293"/>
      <c r="H632" s="295"/>
      <c r="I632" s="293"/>
    </row>
    <row r="633" spans="1:10" ht="13.5" thickBot="1" x14ac:dyDescent="0.25">
      <c r="A633" s="59" t="s">
        <v>56</v>
      </c>
      <c r="B633" s="137"/>
      <c r="C633" s="138"/>
      <c r="D633" s="73">
        <f t="shared" ref="D633:I633" si="23">SUM(D627:D632)</f>
        <v>0</v>
      </c>
      <c r="E633" s="73">
        <f t="shared" si="23"/>
        <v>0</v>
      </c>
      <c r="F633" s="73">
        <f t="shared" si="23"/>
        <v>0</v>
      </c>
      <c r="G633" s="73">
        <f t="shared" si="23"/>
        <v>0</v>
      </c>
      <c r="H633" s="73">
        <f t="shared" si="23"/>
        <v>0</v>
      </c>
      <c r="I633" s="62">
        <f t="shared" si="23"/>
        <v>0</v>
      </c>
    </row>
    <row r="634" spans="1:10" ht="13.5" thickBot="1" x14ac:dyDescent="0.25">
      <c r="A634" s="84"/>
      <c r="B634" s="84"/>
      <c r="C634" s="84"/>
      <c r="D634" s="84"/>
      <c r="E634" s="84"/>
      <c r="F634" s="84"/>
      <c r="G634" s="84"/>
      <c r="H634" s="84"/>
      <c r="I634" s="84"/>
    </row>
    <row r="635" spans="1:10" ht="13.5" thickBot="1" x14ac:dyDescent="0.25">
      <c r="A635" s="54" t="s">
        <v>41</v>
      </c>
      <c r="B635" s="84"/>
      <c r="C635" s="48"/>
      <c r="D635" s="48"/>
      <c r="E635" s="47"/>
      <c r="F635" s="84"/>
      <c r="G635" s="63" t="s">
        <v>56</v>
      </c>
      <c r="H635" s="64"/>
      <c r="I635" s="65">
        <f>SUM(D645:I645)</f>
        <v>0</v>
      </c>
    </row>
    <row r="636" spans="1:10" x14ac:dyDescent="0.2">
      <c r="A636" s="84"/>
      <c r="B636" s="133"/>
      <c r="C636" s="134"/>
      <c r="D636" s="134"/>
      <c r="E636" s="135"/>
      <c r="F636" s="84"/>
      <c r="G636" s="84"/>
      <c r="H636" s="84"/>
      <c r="I636" s="84"/>
      <c r="J636" s="84" t="s">
        <v>702</v>
      </c>
    </row>
    <row r="637" spans="1:10" ht="25.5" x14ac:dyDescent="0.2">
      <c r="A637" s="67" t="s">
        <v>82</v>
      </c>
      <c r="B637" s="67" t="s">
        <v>83</v>
      </c>
      <c r="C637" s="67" t="s">
        <v>172</v>
      </c>
      <c r="D637" s="193" t="s">
        <v>173</v>
      </c>
      <c r="E637" s="193" t="s">
        <v>978</v>
      </c>
      <c r="F637" s="58" t="s">
        <v>86</v>
      </c>
      <c r="G637" s="193" t="s">
        <v>87</v>
      </c>
      <c r="H637" s="193" t="s">
        <v>88</v>
      </c>
      <c r="I637" s="193" t="s">
        <v>89</v>
      </c>
    </row>
    <row r="638" spans="1:10" x14ac:dyDescent="0.2">
      <c r="A638" s="147" t="s">
        <v>1214</v>
      </c>
      <c r="B638" s="296" t="s">
        <v>1215</v>
      </c>
      <c r="C638" s="99">
        <v>1</v>
      </c>
      <c r="D638" s="97"/>
      <c r="E638" s="97"/>
      <c r="F638" s="97"/>
      <c r="G638" s="97"/>
      <c r="H638" s="97"/>
      <c r="I638" s="97"/>
    </row>
    <row r="639" spans="1:10" x14ac:dyDescent="0.2">
      <c r="A639" s="147" t="s">
        <v>517</v>
      </c>
      <c r="B639" s="296" t="s">
        <v>518</v>
      </c>
      <c r="C639" s="99">
        <v>1</v>
      </c>
      <c r="D639" s="99"/>
      <c r="E639" s="235"/>
      <c r="F639" s="297"/>
      <c r="G639" s="101"/>
      <c r="H639" s="101"/>
      <c r="I639" s="92"/>
    </row>
    <row r="640" spans="1:10" x14ac:dyDescent="0.2">
      <c r="A640" s="147" t="s">
        <v>1216</v>
      </c>
      <c r="B640" s="296" t="s">
        <v>1217</v>
      </c>
      <c r="C640" s="99">
        <v>0</v>
      </c>
      <c r="D640" s="97"/>
      <c r="E640" s="97"/>
      <c r="F640" s="97"/>
      <c r="G640" s="97"/>
      <c r="H640" s="97"/>
      <c r="I640" s="97"/>
    </row>
    <row r="641" spans="1:10" x14ac:dyDescent="0.2">
      <c r="A641" s="147" t="s">
        <v>519</v>
      </c>
      <c r="B641" s="296" t="s">
        <v>520</v>
      </c>
      <c r="C641" s="99">
        <v>1</v>
      </c>
      <c r="D641" s="92"/>
      <c r="E641" s="235"/>
      <c r="F641" s="297"/>
      <c r="G641" s="101"/>
      <c r="H641" s="101"/>
      <c r="I641" s="92"/>
    </row>
    <row r="642" spans="1:10" x14ac:dyDescent="0.2">
      <c r="A642" s="147" t="s">
        <v>521</v>
      </c>
      <c r="B642" s="296" t="s">
        <v>522</v>
      </c>
      <c r="C642" s="99">
        <v>1</v>
      </c>
      <c r="D642" s="92"/>
      <c r="E642" s="235"/>
      <c r="F642" s="298"/>
      <c r="G642" s="90"/>
      <c r="H642" s="101"/>
      <c r="I642" s="92"/>
    </row>
    <row r="643" spans="1:10" x14ac:dyDescent="0.2">
      <c r="A643" s="147" t="s">
        <v>670</v>
      </c>
      <c r="B643" s="296" t="s">
        <v>671</v>
      </c>
      <c r="C643" s="99">
        <v>0.6</v>
      </c>
      <c r="D643" s="92"/>
      <c r="E643" s="90"/>
      <c r="F643" s="298"/>
      <c r="G643" s="92"/>
      <c r="H643" s="101"/>
      <c r="I643" s="101"/>
    </row>
    <row r="644" spans="1:10" ht="13.5" thickBot="1" x14ac:dyDescent="0.25">
      <c r="A644" s="147" t="s">
        <v>523</v>
      </c>
      <c r="B644" s="296" t="s">
        <v>524</v>
      </c>
      <c r="C644" s="99">
        <v>1</v>
      </c>
      <c r="D644" s="99"/>
      <c r="E644" s="235"/>
      <c r="F644" s="298"/>
      <c r="G644" s="101"/>
      <c r="H644" s="101"/>
      <c r="I644" s="92"/>
    </row>
    <row r="645" spans="1:10" ht="13.5" thickBot="1" x14ac:dyDescent="0.25">
      <c r="A645" s="59" t="s">
        <v>56</v>
      </c>
      <c r="B645" s="137"/>
      <c r="C645" s="138"/>
      <c r="D645" s="62">
        <f t="shared" ref="D645:I645" si="24">SUM(D639:D644)</f>
        <v>0</v>
      </c>
      <c r="E645" s="62">
        <f t="shared" si="24"/>
        <v>0</v>
      </c>
      <c r="F645" s="62">
        <f t="shared" si="24"/>
        <v>0</v>
      </c>
      <c r="G645" s="62">
        <f t="shared" si="24"/>
        <v>0</v>
      </c>
      <c r="H645" s="62">
        <f t="shared" si="24"/>
        <v>0</v>
      </c>
      <c r="I645" s="62">
        <f t="shared" si="24"/>
        <v>0</v>
      </c>
    </row>
    <row r="646" spans="1:10" ht="13.5" thickBot="1" x14ac:dyDescent="0.25">
      <c r="A646" s="84"/>
      <c r="B646" s="84"/>
      <c r="C646" s="84"/>
      <c r="D646" s="84"/>
      <c r="E646" s="84"/>
      <c r="F646" s="84"/>
      <c r="G646" s="84"/>
      <c r="H646" s="84"/>
      <c r="I646" s="84"/>
      <c r="J646" s="83"/>
    </row>
    <row r="647" spans="1:10" ht="13.5" thickBot="1" x14ac:dyDescent="0.25">
      <c r="A647" s="54" t="s">
        <v>17</v>
      </c>
      <c r="B647" s="84"/>
      <c r="C647" s="48"/>
      <c r="D647" s="48"/>
      <c r="E647" s="47"/>
      <c r="F647" s="84"/>
      <c r="G647" s="63" t="s">
        <v>56</v>
      </c>
      <c r="H647" s="64"/>
      <c r="I647" s="65">
        <f>SUM(D658:I658)</f>
        <v>0</v>
      </c>
      <c r="J647" s="83"/>
    </row>
    <row r="648" spans="1:10" x14ac:dyDescent="0.2">
      <c r="A648" s="84"/>
      <c r="B648" s="133"/>
      <c r="C648" s="134"/>
      <c r="D648" s="134"/>
      <c r="E648" s="135"/>
      <c r="F648" s="84"/>
      <c r="G648" s="84"/>
      <c r="H648" s="84"/>
      <c r="I648" s="84"/>
      <c r="J648" s="83"/>
    </row>
    <row r="649" spans="1:10" ht="25.5" x14ac:dyDescent="0.2">
      <c r="A649" s="67" t="s">
        <v>82</v>
      </c>
      <c r="B649" s="67" t="s">
        <v>83</v>
      </c>
      <c r="C649" s="67" t="s">
        <v>172</v>
      </c>
      <c r="D649" s="57" t="s">
        <v>173</v>
      </c>
      <c r="E649" s="57" t="s">
        <v>1022</v>
      </c>
      <c r="F649" s="58" t="s">
        <v>86</v>
      </c>
      <c r="G649" s="57" t="s">
        <v>87</v>
      </c>
      <c r="H649" s="57" t="s">
        <v>88</v>
      </c>
      <c r="I649" s="57" t="s">
        <v>89</v>
      </c>
      <c r="J649" s="83"/>
    </row>
    <row r="650" spans="1:10" x14ac:dyDescent="0.2">
      <c r="A650" s="299" t="s">
        <v>1218</v>
      </c>
      <c r="B650" s="112" t="s">
        <v>525</v>
      </c>
      <c r="C650" s="99">
        <v>1</v>
      </c>
      <c r="D650" s="99"/>
      <c r="E650" s="87"/>
      <c r="F650" s="107"/>
      <c r="G650" s="101"/>
      <c r="H650" s="93"/>
      <c r="I650" s="92"/>
    </row>
    <row r="651" spans="1:10" x14ac:dyDescent="0.2">
      <c r="A651" s="147" t="s">
        <v>526</v>
      </c>
      <c r="B651" s="112" t="s">
        <v>527</v>
      </c>
      <c r="C651" s="99">
        <v>1</v>
      </c>
      <c r="D651" s="99"/>
      <c r="E651" s="87"/>
      <c r="F651" s="300"/>
      <c r="G651" s="101"/>
      <c r="H651" s="93"/>
      <c r="I651" s="92"/>
    </row>
    <row r="652" spans="1:10" x14ac:dyDescent="0.2">
      <c r="A652" s="147" t="s">
        <v>528</v>
      </c>
      <c r="B652" s="112" t="s">
        <v>529</v>
      </c>
      <c r="C652" s="99">
        <v>1</v>
      </c>
      <c r="D652" s="99"/>
      <c r="E652" s="87"/>
      <c r="F652" s="301"/>
      <c r="G652" s="87"/>
      <c r="H652" s="87"/>
      <c r="I652" s="92"/>
      <c r="J652" s="84" t="s">
        <v>702</v>
      </c>
    </row>
    <row r="653" spans="1:10" x14ac:dyDescent="0.2">
      <c r="A653" s="147" t="s">
        <v>732</v>
      </c>
      <c r="B653" s="112">
        <v>501860</v>
      </c>
      <c r="C653" s="99">
        <v>1</v>
      </c>
      <c r="D653" s="90"/>
      <c r="E653" s="90"/>
      <c r="F653" s="97"/>
      <c r="G653" s="93"/>
      <c r="H653" s="92"/>
      <c r="I653" s="102"/>
    </row>
    <row r="654" spans="1:10" x14ac:dyDescent="0.2">
      <c r="A654" s="147" t="s">
        <v>530</v>
      </c>
      <c r="B654" s="112" t="s">
        <v>531</v>
      </c>
      <c r="C654" s="99">
        <v>0.6</v>
      </c>
      <c r="D654" s="92"/>
      <c r="E654" s="87"/>
      <c r="F654" s="107"/>
      <c r="G654" s="93"/>
      <c r="H654" s="90"/>
      <c r="I654" s="92"/>
    </row>
    <row r="655" spans="1:10" x14ac:dyDescent="0.2">
      <c r="A655" s="116" t="s">
        <v>1219</v>
      </c>
      <c r="B655" s="110" t="s">
        <v>1220</v>
      </c>
      <c r="C655" s="86">
        <v>1</v>
      </c>
      <c r="D655" s="86"/>
      <c r="E655" s="93"/>
      <c r="F655" s="89"/>
      <c r="G655" s="90"/>
      <c r="H655" s="90"/>
      <c r="I655" s="102"/>
    </row>
    <row r="656" spans="1:10" x14ac:dyDescent="0.2">
      <c r="A656" s="116" t="s">
        <v>1221</v>
      </c>
      <c r="B656" s="140" t="s">
        <v>1222</v>
      </c>
      <c r="C656" s="86">
        <v>1</v>
      </c>
      <c r="D656" s="90"/>
      <c r="E656" s="93"/>
      <c r="F656" s="93"/>
      <c r="G656" s="90"/>
      <c r="H656" s="90"/>
      <c r="I656" s="102"/>
    </row>
    <row r="657" spans="1:10" ht="13.5" thickBot="1" x14ac:dyDescent="0.25">
      <c r="A657" s="116" t="s">
        <v>817</v>
      </c>
      <c r="B657" s="140" t="s">
        <v>818</v>
      </c>
      <c r="C657" s="86">
        <v>1</v>
      </c>
      <c r="D657" s="260"/>
      <c r="E657" s="92"/>
      <c r="F657" s="93"/>
      <c r="G657" s="90"/>
      <c r="H657" s="90"/>
      <c r="I657" s="102"/>
    </row>
    <row r="658" spans="1:10" ht="13.5" thickBot="1" x14ac:dyDescent="0.25">
      <c r="A658" s="59" t="s">
        <v>56</v>
      </c>
      <c r="B658" s="137"/>
      <c r="C658" s="138"/>
      <c r="D658" s="62">
        <f t="shared" ref="D658" si="25">SUM(D650:D657)</f>
        <v>0</v>
      </c>
      <c r="E658" s="62">
        <f>SUM(E650:E657)</f>
        <v>0</v>
      </c>
      <c r="F658" s="62">
        <f t="shared" ref="F658:I658" si="26">SUM(F650:F657)</f>
        <v>0</v>
      </c>
      <c r="G658" s="62">
        <f t="shared" si="26"/>
        <v>0</v>
      </c>
      <c r="H658" s="62">
        <f t="shared" si="26"/>
        <v>0</v>
      </c>
      <c r="I658" s="62">
        <f t="shared" si="26"/>
        <v>0</v>
      </c>
    </row>
    <row r="659" spans="1:10" ht="13.5" thickBot="1" x14ac:dyDescent="0.25">
      <c r="A659" s="84"/>
      <c r="B659" s="84"/>
      <c r="C659" s="84"/>
      <c r="D659" s="84"/>
      <c r="E659" s="84"/>
      <c r="F659" s="84"/>
      <c r="G659" s="84"/>
      <c r="H659" s="84"/>
      <c r="I659" s="84"/>
    </row>
    <row r="660" spans="1:10" ht="13.5" thickBot="1" x14ac:dyDescent="0.25">
      <c r="A660" s="54" t="s">
        <v>42</v>
      </c>
      <c r="B660" s="84"/>
      <c r="C660" s="48"/>
      <c r="D660" s="48"/>
      <c r="E660" s="47"/>
      <c r="F660" s="84"/>
      <c r="G660" s="63" t="s">
        <v>56</v>
      </c>
      <c r="H660" s="64"/>
      <c r="I660" s="65">
        <f>SUM(D680:I680)</f>
        <v>0</v>
      </c>
    </row>
    <row r="661" spans="1:10" x14ac:dyDescent="0.2">
      <c r="A661" s="84"/>
      <c r="B661" s="133"/>
      <c r="C661" s="134"/>
      <c r="D661" s="134"/>
      <c r="E661" s="135"/>
      <c r="F661" s="84"/>
      <c r="G661" s="84"/>
      <c r="H661" s="84"/>
      <c r="I661" s="84"/>
    </row>
    <row r="662" spans="1:10" ht="25.5" x14ac:dyDescent="0.2">
      <c r="A662" s="67" t="s">
        <v>82</v>
      </c>
      <c r="B662" s="67" t="s">
        <v>83</v>
      </c>
      <c r="C662" s="67" t="s">
        <v>172</v>
      </c>
      <c r="D662" s="57" t="s">
        <v>173</v>
      </c>
      <c r="E662" s="57" t="s">
        <v>1022</v>
      </c>
      <c r="F662" s="58" t="s">
        <v>86</v>
      </c>
      <c r="G662" s="57" t="s">
        <v>87</v>
      </c>
      <c r="H662" s="57" t="s">
        <v>88</v>
      </c>
      <c r="I662" s="57" t="s">
        <v>89</v>
      </c>
    </row>
    <row r="663" spans="1:10" x14ac:dyDescent="0.2">
      <c r="A663" s="97" t="s">
        <v>532</v>
      </c>
      <c r="B663" s="98" t="s">
        <v>533</v>
      </c>
      <c r="C663" s="99">
        <v>0.4</v>
      </c>
      <c r="D663" s="103"/>
      <c r="E663" s="104"/>
      <c r="F663" s="88"/>
      <c r="G663" s="87"/>
      <c r="H663" s="87"/>
      <c r="I663" s="90"/>
    </row>
    <row r="664" spans="1:10" x14ac:dyDescent="0.2">
      <c r="A664" s="108" t="s">
        <v>534</v>
      </c>
      <c r="B664" s="98" t="s">
        <v>535</v>
      </c>
      <c r="C664" s="99">
        <v>1</v>
      </c>
      <c r="D664" s="103"/>
      <c r="E664" s="104"/>
      <c r="F664" s="88"/>
      <c r="G664" s="87"/>
      <c r="H664" s="93"/>
      <c r="I664" s="90"/>
      <c r="J664" s="84" t="s">
        <v>702</v>
      </c>
    </row>
    <row r="665" spans="1:10" x14ac:dyDescent="0.2">
      <c r="A665" s="108" t="s">
        <v>536</v>
      </c>
      <c r="B665" s="98" t="s">
        <v>537</v>
      </c>
      <c r="C665" s="99">
        <v>0.6</v>
      </c>
      <c r="D665" s="103"/>
      <c r="E665" s="104"/>
      <c r="F665" s="88"/>
      <c r="G665" s="87"/>
      <c r="H665" s="93"/>
      <c r="I665" s="90"/>
    </row>
    <row r="666" spans="1:10" x14ac:dyDescent="0.2">
      <c r="A666" s="108" t="s">
        <v>538</v>
      </c>
      <c r="B666" s="98" t="s">
        <v>539</v>
      </c>
      <c r="C666" s="99">
        <v>0.6</v>
      </c>
      <c r="D666" s="103"/>
      <c r="E666" s="87"/>
      <c r="F666" s="107"/>
      <c r="G666" s="87"/>
      <c r="H666" s="90"/>
      <c r="I666" s="90"/>
    </row>
    <row r="667" spans="1:10" x14ac:dyDescent="0.2">
      <c r="A667" s="108" t="s">
        <v>540</v>
      </c>
      <c r="B667" s="98" t="s">
        <v>541</v>
      </c>
      <c r="C667" s="99">
        <v>0.4</v>
      </c>
      <c r="D667" s="103"/>
      <c r="E667" s="104"/>
      <c r="F667" s="88"/>
      <c r="G667" s="87"/>
      <c r="H667" s="87"/>
      <c r="I667" s="90"/>
    </row>
    <row r="668" spans="1:10" x14ac:dyDescent="0.2">
      <c r="A668" s="108" t="s">
        <v>542</v>
      </c>
      <c r="B668" s="98" t="s">
        <v>543</v>
      </c>
      <c r="C668" s="99">
        <v>1</v>
      </c>
      <c r="D668" s="109"/>
      <c r="E668" s="104"/>
      <c r="F668" s="88"/>
      <c r="G668" s="87"/>
      <c r="H668" s="87"/>
      <c r="I668" s="90"/>
    </row>
    <row r="669" spans="1:10" x14ac:dyDescent="0.2">
      <c r="A669" s="108" t="s">
        <v>544</v>
      </c>
      <c r="B669" s="98" t="s">
        <v>545</v>
      </c>
      <c r="C669" s="99">
        <v>1</v>
      </c>
      <c r="D669" s="109"/>
      <c r="E669" s="104"/>
      <c r="F669" s="88"/>
      <c r="G669" s="87"/>
      <c r="H669" s="87"/>
      <c r="I669" s="90"/>
    </row>
    <row r="670" spans="1:10" x14ac:dyDescent="0.2">
      <c r="A670" s="108" t="s">
        <v>546</v>
      </c>
      <c r="B670" s="98" t="s">
        <v>739</v>
      </c>
      <c r="C670" s="99">
        <v>1</v>
      </c>
      <c r="D670" s="109"/>
      <c r="E670" s="104"/>
      <c r="F670" s="88"/>
      <c r="G670" s="87"/>
      <c r="H670" s="87"/>
      <c r="I670" s="90"/>
    </row>
    <row r="671" spans="1:10" x14ac:dyDescent="0.2">
      <c r="A671" s="108" t="s">
        <v>547</v>
      </c>
      <c r="B671" s="98" t="s">
        <v>548</v>
      </c>
      <c r="C671" s="99">
        <v>1</v>
      </c>
      <c r="D671" s="109"/>
      <c r="E671" s="104"/>
      <c r="F671" s="107"/>
      <c r="G671" s="101"/>
      <c r="H671" s="87"/>
      <c r="I671" s="90"/>
    </row>
    <row r="672" spans="1:10" x14ac:dyDescent="0.2">
      <c r="A672" s="108" t="s">
        <v>549</v>
      </c>
      <c r="B672" s="98" t="s">
        <v>550</v>
      </c>
      <c r="C672" s="99">
        <v>0.4</v>
      </c>
      <c r="D672" s="92"/>
      <c r="E672" s="90"/>
      <c r="F672" s="90"/>
      <c r="G672" s="90"/>
      <c r="H672" s="87"/>
      <c r="I672" s="101"/>
    </row>
    <row r="673" spans="1:10" x14ac:dyDescent="0.2">
      <c r="A673" s="108" t="s">
        <v>551</v>
      </c>
      <c r="B673" s="98" t="s">
        <v>552</v>
      </c>
      <c r="C673" s="99">
        <v>1</v>
      </c>
      <c r="D673" s="92"/>
      <c r="E673" s="104"/>
      <c r="F673" s="107"/>
      <c r="G673" s="87"/>
      <c r="H673" s="90"/>
      <c r="I673" s="90"/>
    </row>
    <row r="674" spans="1:10" x14ac:dyDescent="0.2">
      <c r="A674" s="97" t="s">
        <v>553</v>
      </c>
      <c r="B674" s="98" t="s">
        <v>554</v>
      </c>
      <c r="C674" s="99">
        <v>1</v>
      </c>
      <c r="D674" s="92"/>
      <c r="E674" s="90"/>
      <c r="F674" s="90"/>
      <c r="G674" s="90"/>
      <c r="H674" s="90"/>
      <c r="I674" s="101"/>
      <c r="J674" s="84" t="s">
        <v>702</v>
      </c>
    </row>
    <row r="675" spans="1:10" x14ac:dyDescent="0.2">
      <c r="A675" s="194" t="s">
        <v>900</v>
      </c>
      <c r="B675" s="244" t="s">
        <v>740</v>
      </c>
      <c r="C675" s="245">
        <v>1</v>
      </c>
      <c r="D675" s="246"/>
      <c r="E675" s="246"/>
      <c r="F675" s="246"/>
      <c r="G675" s="246"/>
      <c r="H675" s="302"/>
      <c r="I675" s="246"/>
    </row>
    <row r="676" spans="1:10" x14ac:dyDescent="0.2">
      <c r="A676" s="97" t="s">
        <v>555</v>
      </c>
      <c r="B676" s="110" t="s">
        <v>556</v>
      </c>
      <c r="C676" s="86">
        <v>1</v>
      </c>
      <c r="D676" s="86"/>
      <c r="E676" s="90"/>
      <c r="F676" s="111"/>
      <c r="G676" s="93"/>
      <c r="H676" s="93"/>
      <c r="I676" s="90"/>
    </row>
    <row r="677" spans="1:10" x14ac:dyDescent="0.2">
      <c r="A677" s="243" t="s">
        <v>792</v>
      </c>
      <c r="B677" s="244" t="s">
        <v>793</v>
      </c>
      <c r="C677" s="245">
        <v>1</v>
      </c>
      <c r="D677" s="246"/>
      <c r="E677" s="246"/>
      <c r="F677" s="246"/>
      <c r="G677" s="246"/>
      <c r="H677" s="295"/>
      <c r="I677" s="293"/>
      <c r="J677" s="84"/>
    </row>
    <row r="678" spans="1:10" x14ac:dyDescent="0.2">
      <c r="A678" s="172" t="s">
        <v>1223</v>
      </c>
      <c r="B678" s="231" t="s">
        <v>1224</v>
      </c>
      <c r="C678" s="99">
        <v>1</v>
      </c>
      <c r="D678" s="101"/>
      <c r="E678" s="90"/>
      <c r="F678" s="235"/>
      <c r="G678" s="87"/>
      <c r="H678" s="87"/>
      <c r="I678" s="136"/>
      <c r="J678" s="84"/>
    </row>
    <row r="679" spans="1:10" x14ac:dyDescent="0.2">
      <c r="A679" s="172" t="s">
        <v>1225</v>
      </c>
      <c r="B679" s="231" t="s">
        <v>1226</v>
      </c>
      <c r="C679" s="99">
        <v>0.4</v>
      </c>
      <c r="D679" s="90"/>
      <c r="E679" s="101"/>
      <c r="F679" s="235"/>
      <c r="G679" s="87"/>
      <c r="H679" s="87"/>
      <c r="I679" s="136"/>
      <c r="J679" s="84"/>
    </row>
    <row r="680" spans="1:10" ht="13.5" thickBot="1" x14ac:dyDescent="0.25">
      <c r="A680" s="69" t="s">
        <v>56</v>
      </c>
      <c r="B680" s="223"/>
      <c r="C680" s="224"/>
      <c r="D680" s="225">
        <f>SUM(D663:D679)</f>
        <v>0</v>
      </c>
      <c r="E680" s="225">
        <f t="shared" ref="E680:I680" si="27">SUM(E663:E679)</f>
        <v>0</v>
      </c>
      <c r="F680" s="225">
        <f t="shared" si="27"/>
        <v>0</v>
      </c>
      <c r="G680" s="225">
        <f t="shared" si="27"/>
        <v>0</v>
      </c>
      <c r="H680" s="225">
        <f t="shared" si="27"/>
        <v>0</v>
      </c>
      <c r="I680" s="225">
        <f t="shared" si="27"/>
        <v>0</v>
      </c>
    </row>
    <row r="681" spans="1:10" ht="13.5" thickBot="1" x14ac:dyDescent="0.25">
      <c r="A681" s="84"/>
      <c r="B681" s="84"/>
      <c r="C681" s="84"/>
      <c r="D681" s="84"/>
      <c r="E681" s="84"/>
      <c r="F681" s="84"/>
      <c r="G681" s="84"/>
      <c r="H681" s="84"/>
      <c r="I681" s="84"/>
    </row>
    <row r="682" spans="1:10" ht="13.5" thickBot="1" x14ac:dyDescent="0.25">
      <c r="A682" s="54" t="s">
        <v>43</v>
      </c>
      <c r="B682" s="84"/>
      <c r="C682" s="48"/>
      <c r="D682" s="48"/>
      <c r="E682" s="47"/>
      <c r="F682" s="84"/>
      <c r="G682" s="63" t="s">
        <v>56</v>
      </c>
      <c r="H682" s="64"/>
      <c r="I682" s="65">
        <f>SUM(D695:I695)</f>
        <v>0</v>
      </c>
    </row>
    <row r="683" spans="1:10" x14ac:dyDescent="0.2">
      <c r="A683" s="84"/>
      <c r="B683" s="133"/>
      <c r="C683" s="134"/>
      <c r="D683" s="134"/>
      <c r="E683" s="135"/>
      <c r="F683" s="84"/>
      <c r="G683" s="84"/>
      <c r="H683" s="84"/>
      <c r="I683" s="84"/>
    </row>
    <row r="684" spans="1:10" ht="25.5" x14ac:dyDescent="0.2">
      <c r="A684" s="67" t="s">
        <v>82</v>
      </c>
      <c r="B684" s="67" t="s">
        <v>83</v>
      </c>
      <c r="C684" s="67" t="s">
        <v>172</v>
      </c>
      <c r="D684" s="57" t="s">
        <v>173</v>
      </c>
      <c r="E684" s="57" t="s">
        <v>1022</v>
      </c>
      <c r="F684" s="58" t="s">
        <v>86</v>
      </c>
      <c r="G684" s="57" t="s">
        <v>87</v>
      </c>
      <c r="H684" s="57" t="s">
        <v>88</v>
      </c>
      <c r="I684" s="57" t="s">
        <v>89</v>
      </c>
    </row>
    <row r="685" spans="1:10" x14ac:dyDescent="0.2">
      <c r="A685" s="97" t="s">
        <v>557</v>
      </c>
      <c r="B685" s="98" t="s">
        <v>558</v>
      </c>
      <c r="C685" s="99">
        <v>1</v>
      </c>
      <c r="D685" s="99"/>
      <c r="E685" s="87"/>
      <c r="F685" s="87"/>
      <c r="G685" s="97"/>
      <c r="H685" s="97"/>
      <c r="I685" s="102"/>
    </row>
    <row r="686" spans="1:10" x14ac:dyDescent="0.2">
      <c r="A686" s="97" t="s">
        <v>559</v>
      </c>
      <c r="B686" s="98" t="s">
        <v>560</v>
      </c>
      <c r="C686" s="99">
        <v>1</v>
      </c>
      <c r="D686" s="86"/>
      <c r="E686" s="90"/>
      <c r="F686" s="93"/>
      <c r="G686" s="93"/>
      <c r="H686" s="93"/>
      <c r="I686" s="102"/>
    </row>
    <row r="687" spans="1:10" x14ac:dyDescent="0.2">
      <c r="A687" s="112" t="s">
        <v>1227</v>
      </c>
      <c r="B687" s="98" t="s">
        <v>1228</v>
      </c>
      <c r="C687" s="99">
        <v>1</v>
      </c>
      <c r="D687" s="97"/>
      <c r="E687" s="97"/>
      <c r="F687" s="97"/>
      <c r="G687" s="97"/>
      <c r="H687" s="97"/>
      <c r="I687" s="97"/>
    </row>
    <row r="688" spans="1:10" x14ac:dyDescent="0.2">
      <c r="A688" s="97" t="s">
        <v>561</v>
      </c>
      <c r="B688" s="98" t="s">
        <v>562</v>
      </c>
      <c r="C688" s="99">
        <v>1</v>
      </c>
      <c r="D688" s="92"/>
      <c r="E688" s="235"/>
      <c r="F688" s="101"/>
      <c r="G688" s="101"/>
      <c r="H688" s="101"/>
      <c r="I688" s="92"/>
    </row>
    <row r="689" spans="1:9" x14ac:dyDescent="0.2">
      <c r="A689" s="97" t="s">
        <v>563</v>
      </c>
      <c r="B689" s="98" t="s">
        <v>564</v>
      </c>
      <c r="C689" s="99">
        <v>1</v>
      </c>
      <c r="D689" s="99"/>
      <c r="E689" s="87"/>
      <c r="F689" s="101"/>
      <c r="G689" s="87"/>
      <c r="H689" s="87"/>
      <c r="I689" s="92"/>
    </row>
    <row r="690" spans="1:9" x14ac:dyDescent="0.2">
      <c r="A690" s="97" t="s">
        <v>565</v>
      </c>
      <c r="B690" s="98" t="s">
        <v>566</v>
      </c>
      <c r="C690" s="99">
        <v>1</v>
      </c>
      <c r="D690" s="99"/>
      <c r="E690" s="87"/>
      <c r="F690" s="87"/>
      <c r="G690" s="97"/>
      <c r="H690" s="97"/>
      <c r="I690" s="102"/>
    </row>
    <row r="691" spans="1:9" x14ac:dyDescent="0.2">
      <c r="A691" s="97" t="s">
        <v>567</v>
      </c>
      <c r="B691" s="98" t="s">
        <v>568</v>
      </c>
      <c r="C691" s="99">
        <v>1</v>
      </c>
      <c r="D691" s="99"/>
      <c r="E691" s="87"/>
      <c r="F691" s="87"/>
      <c r="G691" s="97"/>
      <c r="H691" s="97"/>
      <c r="I691" s="92"/>
    </row>
    <row r="692" spans="1:9" x14ac:dyDescent="0.2">
      <c r="A692" s="116" t="s">
        <v>1229</v>
      </c>
      <c r="B692" s="140" t="s">
        <v>1230</v>
      </c>
      <c r="C692" s="86">
        <v>1</v>
      </c>
      <c r="D692" s="97"/>
      <c r="E692" s="97"/>
      <c r="F692" s="97"/>
      <c r="G692" s="97"/>
      <c r="H692" s="97"/>
      <c r="I692" s="97"/>
    </row>
    <row r="693" spans="1:9" x14ac:dyDescent="0.2">
      <c r="A693" s="116" t="s">
        <v>805</v>
      </c>
      <c r="B693" s="110" t="s">
        <v>806</v>
      </c>
      <c r="C693" s="86">
        <v>1</v>
      </c>
      <c r="D693" s="102"/>
      <c r="E693" s="102"/>
      <c r="F693" s="93"/>
      <c r="G693" s="92"/>
      <c r="H693" s="116"/>
      <c r="I693" s="102"/>
    </row>
    <row r="694" spans="1:9" x14ac:dyDescent="0.2">
      <c r="A694" s="172" t="s">
        <v>1231</v>
      </c>
      <c r="B694" s="231" t="s">
        <v>1232</v>
      </c>
      <c r="C694" s="99">
        <v>1</v>
      </c>
      <c r="D694" s="136"/>
      <c r="E694" s="92"/>
      <c r="F694" s="87"/>
      <c r="G694" s="136"/>
      <c r="H694" s="97"/>
      <c r="I694" s="136"/>
    </row>
    <row r="695" spans="1:9" ht="13.5" thickBot="1" x14ac:dyDescent="0.25">
      <c r="A695" s="69" t="s">
        <v>56</v>
      </c>
      <c r="B695" s="223"/>
      <c r="C695" s="224"/>
      <c r="D695" s="225">
        <f>SUM(D685:D694)</f>
        <v>0</v>
      </c>
      <c r="E695" s="225">
        <f t="shared" ref="E695:I695" si="28">SUM(E685:E694)</f>
        <v>0</v>
      </c>
      <c r="F695" s="225">
        <f t="shared" si="28"/>
        <v>0</v>
      </c>
      <c r="G695" s="225">
        <f t="shared" si="28"/>
        <v>0</v>
      </c>
      <c r="H695" s="225">
        <f t="shared" si="28"/>
        <v>0</v>
      </c>
      <c r="I695" s="225">
        <f t="shared" si="28"/>
        <v>0</v>
      </c>
    </row>
    <row r="696" spans="1:9" ht="13.5" thickBot="1" x14ac:dyDescent="0.25">
      <c r="A696" s="84"/>
      <c r="B696" s="84"/>
      <c r="C696" s="84"/>
      <c r="D696" s="84"/>
      <c r="E696" s="84"/>
      <c r="F696" s="84"/>
      <c r="G696" s="84"/>
      <c r="H696" s="84"/>
      <c r="I696" s="84"/>
    </row>
    <row r="697" spans="1:9" ht="13.5" thickBot="1" x14ac:dyDescent="0.25">
      <c r="A697" s="54" t="s">
        <v>44</v>
      </c>
      <c r="B697" s="84"/>
      <c r="C697" s="48"/>
      <c r="D697" s="48"/>
      <c r="E697" s="47"/>
      <c r="F697" s="84"/>
      <c r="G697" s="63" t="s">
        <v>56</v>
      </c>
      <c r="H697" s="64"/>
      <c r="I697" s="65">
        <f>SUM(D708:I708)</f>
        <v>0</v>
      </c>
    </row>
    <row r="698" spans="1:9" x14ac:dyDescent="0.2">
      <c r="A698" s="84"/>
      <c r="B698" s="133"/>
      <c r="C698" s="134"/>
      <c r="D698" s="134"/>
      <c r="E698" s="135"/>
      <c r="F698" s="84"/>
      <c r="G698" s="84"/>
      <c r="H698" s="84"/>
      <c r="I698" s="84"/>
    </row>
    <row r="699" spans="1:9" ht="25.5" x14ac:dyDescent="0.2">
      <c r="A699" s="67" t="s">
        <v>82</v>
      </c>
      <c r="B699" s="67" t="s">
        <v>83</v>
      </c>
      <c r="C699" s="67" t="s">
        <v>172</v>
      </c>
      <c r="D699" s="57" t="s">
        <v>173</v>
      </c>
      <c r="E699" s="57" t="s">
        <v>1022</v>
      </c>
      <c r="F699" s="58" t="s">
        <v>86</v>
      </c>
      <c r="G699" s="57" t="s">
        <v>87</v>
      </c>
      <c r="H699" s="57" t="s">
        <v>88</v>
      </c>
      <c r="I699" s="57" t="s">
        <v>89</v>
      </c>
    </row>
    <row r="700" spans="1:9" x14ac:dyDescent="0.2">
      <c r="A700" s="147" t="s">
        <v>569</v>
      </c>
      <c r="B700" s="85">
        <v>6045</v>
      </c>
      <c r="C700" s="86">
        <v>0.6</v>
      </c>
      <c r="D700" s="86"/>
      <c r="E700" s="87"/>
      <c r="F700" s="88"/>
      <c r="G700" s="87"/>
      <c r="H700" s="89"/>
      <c r="I700" s="101"/>
    </row>
    <row r="701" spans="1:9" x14ac:dyDescent="0.2">
      <c r="A701" s="303" t="s">
        <v>570</v>
      </c>
      <c r="B701" s="294">
        <v>7169</v>
      </c>
      <c r="C701" s="304">
        <v>1</v>
      </c>
      <c r="D701" s="197"/>
      <c r="E701" s="246"/>
      <c r="F701" s="305"/>
      <c r="G701" s="253"/>
      <c r="H701" s="253"/>
      <c r="I701" s="253"/>
    </row>
    <row r="702" spans="1:9" x14ac:dyDescent="0.2">
      <c r="A702" s="303" t="s">
        <v>737</v>
      </c>
      <c r="B702" s="306">
        <v>501859</v>
      </c>
      <c r="C702" s="307">
        <v>1</v>
      </c>
      <c r="D702" s="197"/>
      <c r="E702" s="253"/>
      <c r="F702" s="266"/>
      <c r="G702" s="253"/>
      <c r="H702" s="253"/>
      <c r="I702" s="253"/>
    </row>
    <row r="703" spans="1:9" x14ac:dyDescent="0.2">
      <c r="A703" s="303" t="s">
        <v>571</v>
      </c>
      <c r="B703" s="306">
        <v>500117</v>
      </c>
      <c r="C703" s="196">
        <v>0.6</v>
      </c>
      <c r="D703" s="197"/>
      <c r="E703" s="253"/>
      <c r="F703" s="266"/>
      <c r="G703" s="253"/>
      <c r="H703" s="253"/>
      <c r="I703" s="253"/>
    </row>
    <row r="704" spans="1:9" x14ac:dyDescent="0.2">
      <c r="A704" s="303" t="s">
        <v>672</v>
      </c>
      <c r="B704" s="306">
        <v>501114</v>
      </c>
      <c r="C704" s="196">
        <v>1</v>
      </c>
      <c r="D704" s="253"/>
      <c r="E704" s="253"/>
      <c r="F704" s="253"/>
      <c r="G704" s="253"/>
      <c r="H704" s="266"/>
      <c r="I704" s="253"/>
    </row>
    <row r="705" spans="1:9" x14ac:dyDescent="0.2">
      <c r="A705" s="147" t="s">
        <v>1233</v>
      </c>
      <c r="B705" s="112">
        <v>504320</v>
      </c>
      <c r="C705" s="99">
        <v>0.1757</v>
      </c>
      <c r="D705" s="97"/>
      <c r="E705" s="97"/>
      <c r="F705" s="97"/>
      <c r="G705" s="97"/>
      <c r="H705" s="97"/>
      <c r="I705" s="97"/>
    </row>
    <row r="706" spans="1:9" x14ac:dyDescent="0.2">
      <c r="A706" s="147" t="s">
        <v>1234</v>
      </c>
      <c r="B706" s="112">
        <v>501287</v>
      </c>
      <c r="C706" s="99">
        <v>0.4</v>
      </c>
      <c r="D706" s="97"/>
      <c r="E706" s="97"/>
      <c r="F706" s="97"/>
      <c r="G706" s="97"/>
      <c r="H706" s="97"/>
      <c r="I706" s="97"/>
    </row>
    <row r="707" spans="1:9" ht="13.5" thickBot="1" x14ac:dyDescent="0.25">
      <c r="A707" s="260" t="s">
        <v>673</v>
      </c>
      <c r="B707" s="85">
        <v>504013</v>
      </c>
      <c r="C707" s="91">
        <v>0.7077</v>
      </c>
      <c r="D707" s="90"/>
      <c r="E707" s="90"/>
      <c r="F707" s="101"/>
      <c r="G707" s="101"/>
      <c r="H707" s="90"/>
      <c r="I707" s="94"/>
    </row>
    <row r="708" spans="1:9" ht="13.5" thickBot="1" x14ac:dyDescent="0.25">
      <c r="A708" s="59" t="s">
        <v>56</v>
      </c>
      <c r="B708" s="137"/>
      <c r="C708" s="138"/>
      <c r="D708" s="62">
        <f t="shared" ref="D708:I708" si="29">SUM(D700:D707)</f>
        <v>0</v>
      </c>
      <c r="E708" s="62">
        <f t="shared" si="29"/>
        <v>0</v>
      </c>
      <c r="F708" s="62">
        <f t="shared" si="29"/>
        <v>0</v>
      </c>
      <c r="G708" s="62">
        <f t="shared" si="29"/>
        <v>0</v>
      </c>
      <c r="H708" s="62">
        <f t="shared" si="29"/>
        <v>0</v>
      </c>
      <c r="I708" s="62">
        <f t="shared" si="29"/>
        <v>0</v>
      </c>
    </row>
    <row r="709" spans="1:9" ht="13.5" thickBot="1" x14ac:dyDescent="0.25">
      <c r="A709" s="84"/>
      <c r="B709" s="84"/>
      <c r="C709" s="84"/>
      <c r="D709" s="84"/>
      <c r="E709" s="84"/>
      <c r="F709" s="84"/>
      <c r="G709" s="84"/>
      <c r="H709" s="84"/>
      <c r="I709" s="84"/>
    </row>
    <row r="710" spans="1:9" ht="13.5" thickBot="1" x14ac:dyDescent="0.25">
      <c r="A710" s="54" t="s">
        <v>45</v>
      </c>
      <c r="B710" s="84"/>
      <c r="C710" s="48"/>
      <c r="D710" s="48"/>
      <c r="E710" s="47"/>
      <c r="F710" s="84"/>
      <c r="G710" s="63" t="s">
        <v>56</v>
      </c>
      <c r="H710" s="64"/>
      <c r="I710" s="65">
        <f>SUM(D726:I726)</f>
        <v>0</v>
      </c>
    </row>
    <row r="711" spans="1:9" x14ac:dyDescent="0.2">
      <c r="A711" s="84"/>
      <c r="B711" s="133"/>
      <c r="C711" s="134"/>
      <c r="D711" s="134"/>
      <c r="E711" s="135"/>
      <c r="F711" s="84"/>
      <c r="G711" s="84"/>
      <c r="H711" s="84"/>
      <c r="I711" s="84"/>
    </row>
    <row r="712" spans="1:9" ht="25.5" x14ac:dyDescent="0.2">
      <c r="A712" s="67" t="s">
        <v>82</v>
      </c>
      <c r="B712" s="67" t="s">
        <v>83</v>
      </c>
      <c r="C712" s="67" t="s">
        <v>172</v>
      </c>
      <c r="D712" s="57" t="s">
        <v>173</v>
      </c>
      <c r="E712" s="57" t="s">
        <v>978</v>
      </c>
      <c r="F712" s="58" t="s">
        <v>86</v>
      </c>
      <c r="G712" s="57" t="s">
        <v>87</v>
      </c>
      <c r="H712" s="57" t="s">
        <v>88</v>
      </c>
      <c r="I712" s="57" t="s">
        <v>89</v>
      </c>
    </row>
    <row r="713" spans="1:9" x14ac:dyDescent="0.2">
      <c r="A713" s="97" t="s">
        <v>572</v>
      </c>
      <c r="B713" s="98" t="s">
        <v>573</v>
      </c>
      <c r="C713" s="99">
        <v>1</v>
      </c>
      <c r="D713" s="99"/>
      <c r="E713" s="101"/>
      <c r="F713" s="104"/>
      <c r="G713" s="101"/>
      <c r="H713" s="101"/>
      <c r="I713" s="101"/>
    </row>
    <row r="714" spans="1:9" x14ac:dyDescent="0.2">
      <c r="A714" s="97" t="s">
        <v>574</v>
      </c>
      <c r="B714" s="98" t="s">
        <v>575</v>
      </c>
      <c r="C714" s="99">
        <v>1</v>
      </c>
      <c r="D714" s="92"/>
      <c r="E714" s="87"/>
      <c r="F714" s="104"/>
      <c r="G714" s="87"/>
      <c r="H714" s="101"/>
      <c r="I714" s="101"/>
    </row>
    <row r="715" spans="1:9" x14ac:dyDescent="0.2">
      <c r="A715" s="97" t="s">
        <v>576</v>
      </c>
      <c r="B715" s="98" t="s">
        <v>577</v>
      </c>
      <c r="C715" s="99">
        <v>1</v>
      </c>
      <c r="D715" s="99"/>
      <c r="E715" s="101"/>
      <c r="F715" s="104"/>
      <c r="G715" s="87"/>
      <c r="H715" s="101"/>
      <c r="I715" s="101"/>
    </row>
    <row r="716" spans="1:9" x14ac:dyDescent="0.2">
      <c r="A716" s="97" t="s">
        <v>578</v>
      </c>
      <c r="B716" s="98" t="s">
        <v>579</v>
      </c>
      <c r="C716" s="99">
        <v>0.6</v>
      </c>
      <c r="D716" s="99"/>
      <c r="E716" s="101"/>
      <c r="F716" s="107"/>
      <c r="G716" s="87"/>
      <c r="H716" s="101"/>
      <c r="I716" s="101"/>
    </row>
    <row r="717" spans="1:9" x14ac:dyDescent="0.2">
      <c r="A717" s="97" t="s">
        <v>580</v>
      </c>
      <c r="B717" s="98" t="s">
        <v>581</v>
      </c>
      <c r="C717" s="99">
        <v>1</v>
      </c>
      <c r="D717" s="92"/>
      <c r="E717" s="87"/>
      <c r="F717" s="104"/>
      <c r="G717" s="101"/>
      <c r="H717" s="90"/>
      <c r="I717" s="101"/>
    </row>
    <row r="718" spans="1:9" x14ac:dyDescent="0.2">
      <c r="A718" s="97" t="s">
        <v>1235</v>
      </c>
      <c r="B718" s="98" t="s">
        <v>1236</v>
      </c>
      <c r="C718" s="99">
        <v>1</v>
      </c>
      <c r="D718" s="92"/>
      <c r="E718" s="87"/>
      <c r="F718" s="104"/>
      <c r="G718" s="101"/>
      <c r="H718" s="90"/>
      <c r="I718" s="102"/>
    </row>
    <row r="719" spans="1:9" x14ac:dyDescent="0.2">
      <c r="A719" s="97" t="s">
        <v>582</v>
      </c>
      <c r="B719" s="98" t="s">
        <v>583</v>
      </c>
      <c r="C719" s="99">
        <v>1</v>
      </c>
      <c r="D719" s="92"/>
      <c r="E719" s="101"/>
      <c r="F719" s="104"/>
      <c r="G719" s="101"/>
      <c r="H719" s="101"/>
      <c r="I719" s="101"/>
    </row>
    <row r="720" spans="1:9" x14ac:dyDescent="0.2">
      <c r="A720" s="97" t="s">
        <v>584</v>
      </c>
      <c r="B720" s="98" t="s">
        <v>585</v>
      </c>
      <c r="C720" s="99">
        <v>1</v>
      </c>
      <c r="D720" s="92"/>
      <c r="E720" s="101"/>
      <c r="F720" s="104"/>
      <c r="G720" s="101"/>
      <c r="H720" s="101"/>
      <c r="I720" s="101"/>
    </row>
    <row r="721" spans="1:9" x14ac:dyDescent="0.2">
      <c r="A721" s="97" t="s">
        <v>586</v>
      </c>
      <c r="B721" s="98" t="s">
        <v>587</v>
      </c>
      <c r="C721" s="99">
        <v>1</v>
      </c>
      <c r="D721" s="99"/>
      <c r="E721" s="101"/>
      <c r="F721" s="104"/>
      <c r="G721" s="101"/>
      <c r="H721" s="101"/>
      <c r="I721" s="101"/>
    </row>
    <row r="722" spans="1:9" x14ac:dyDescent="0.2">
      <c r="A722" s="97" t="s">
        <v>794</v>
      </c>
      <c r="B722" s="98" t="s">
        <v>573</v>
      </c>
      <c r="C722" s="99">
        <v>1</v>
      </c>
      <c r="D722" s="99"/>
      <c r="E722" s="90"/>
      <c r="F722" s="104"/>
      <c r="G722" s="90"/>
      <c r="H722" s="90"/>
      <c r="I722" s="101"/>
    </row>
    <row r="723" spans="1:9" x14ac:dyDescent="0.2">
      <c r="A723" s="97" t="s">
        <v>674</v>
      </c>
      <c r="B723" s="98" t="s">
        <v>675</v>
      </c>
      <c r="C723" s="99">
        <v>0.5</v>
      </c>
      <c r="D723" s="99"/>
      <c r="E723" s="113"/>
      <c r="F723" s="90"/>
      <c r="G723" s="90"/>
      <c r="H723" s="101"/>
      <c r="I723" s="94"/>
    </row>
    <row r="724" spans="1:9" x14ac:dyDescent="0.2">
      <c r="A724" s="97" t="s">
        <v>588</v>
      </c>
      <c r="B724" s="98" t="s">
        <v>589</v>
      </c>
      <c r="C724" s="99">
        <v>1</v>
      </c>
      <c r="D724" s="99"/>
      <c r="E724" s="101"/>
      <c r="F724" s="101"/>
      <c r="G724" s="101"/>
      <c r="H724" s="101"/>
      <c r="I724" s="101"/>
    </row>
    <row r="725" spans="1:9" ht="13.5" thickBot="1" x14ac:dyDescent="0.25">
      <c r="A725" s="308" t="s">
        <v>1237</v>
      </c>
      <c r="B725" s="309" t="s">
        <v>1238</v>
      </c>
      <c r="C725" s="262">
        <v>1</v>
      </c>
      <c r="D725" s="262"/>
      <c r="E725" s="101"/>
      <c r="F725" s="310"/>
      <c r="G725" s="310"/>
      <c r="H725" s="310"/>
      <c r="I725" s="311"/>
    </row>
    <row r="726" spans="1:9" ht="13.5" thickBot="1" x14ac:dyDescent="0.25">
      <c r="A726" s="59" t="s">
        <v>56</v>
      </c>
      <c r="B726" s="137"/>
      <c r="C726" s="138"/>
      <c r="D726" s="68">
        <f>SUM(D713:D725)</f>
        <v>0</v>
      </c>
      <c r="E726" s="68">
        <f t="shared" ref="E726:I726" si="30">SUM(E713:E725)</f>
        <v>0</v>
      </c>
      <c r="F726" s="68">
        <f t="shared" si="30"/>
        <v>0</v>
      </c>
      <c r="G726" s="68">
        <f t="shared" si="30"/>
        <v>0</v>
      </c>
      <c r="H726" s="68">
        <f t="shared" si="30"/>
        <v>0</v>
      </c>
      <c r="I726" s="68">
        <f t="shared" si="30"/>
        <v>0</v>
      </c>
    </row>
    <row r="727" spans="1:9" ht="13.5" thickBot="1" x14ac:dyDescent="0.25">
      <c r="A727" s="84"/>
      <c r="B727" s="84"/>
      <c r="C727" s="84"/>
      <c r="D727" s="84"/>
      <c r="E727" s="84"/>
      <c r="F727" s="84"/>
      <c r="G727" s="84"/>
      <c r="H727" s="84"/>
      <c r="I727" s="84"/>
    </row>
    <row r="728" spans="1:9" ht="13.5" thickBot="1" x14ac:dyDescent="0.25">
      <c r="A728" s="54" t="s">
        <v>46</v>
      </c>
      <c r="B728" s="84"/>
      <c r="C728" s="48"/>
      <c r="D728" s="48"/>
      <c r="E728" s="47"/>
      <c r="F728" s="84"/>
      <c r="G728" s="63" t="s">
        <v>56</v>
      </c>
      <c r="H728" s="64"/>
      <c r="I728" s="65">
        <f>SUM(D742:I742)</f>
        <v>0</v>
      </c>
    </row>
    <row r="729" spans="1:9" x14ac:dyDescent="0.2">
      <c r="A729" s="84"/>
      <c r="B729" s="133"/>
      <c r="C729" s="134"/>
      <c r="D729" s="134"/>
      <c r="E729" s="135"/>
      <c r="F729" s="84"/>
      <c r="G729" s="84"/>
      <c r="H729" s="84"/>
      <c r="I729" s="84"/>
    </row>
    <row r="730" spans="1:9" ht="25.5" x14ac:dyDescent="0.2">
      <c r="A730" s="67" t="s">
        <v>82</v>
      </c>
      <c r="B730" s="67" t="s">
        <v>83</v>
      </c>
      <c r="C730" s="67" t="s">
        <v>172</v>
      </c>
      <c r="D730" s="57" t="s">
        <v>173</v>
      </c>
      <c r="E730" s="57" t="s">
        <v>1022</v>
      </c>
      <c r="F730" s="58" t="s">
        <v>86</v>
      </c>
      <c r="G730" s="57" t="s">
        <v>87</v>
      </c>
      <c r="H730" s="57" t="s">
        <v>88</v>
      </c>
      <c r="I730" s="57" t="s">
        <v>89</v>
      </c>
    </row>
    <row r="731" spans="1:9" x14ac:dyDescent="0.2">
      <c r="A731" s="97" t="s">
        <v>590</v>
      </c>
      <c r="B731" s="98" t="s">
        <v>591</v>
      </c>
      <c r="C731" s="99">
        <v>1</v>
      </c>
      <c r="D731" s="44"/>
      <c r="E731" s="87"/>
      <c r="F731" s="45"/>
      <c r="G731" s="100"/>
      <c r="H731" s="44"/>
      <c r="I731" s="90"/>
    </row>
    <row r="732" spans="1:9" x14ac:dyDescent="0.2">
      <c r="A732" s="97" t="s">
        <v>1239</v>
      </c>
      <c r="B732" s="98" t="s">
        <v>1240</v>
      </c>
      <c r="C732" s="99">
        <v>1</v>
      </c>
      <c r="D732" s="44"/>
      <c r="E732" s="87"/>
      <c r="F732" s="45"/>
      <c r="G732" s="100"/>
      <c r="H732" s="90"/>
      <c r="I732" s="90"/>
    </row>
    <row r="733" spans="1:9" x14ac:dyDescent="0.2">
      <c r="A733" s="97" t="s">
        <v>592</v>
      </c>
      <c r="B733" s="98" t="s">
        <v>593</v>
      </c>
      <c r="C733" s="99">
        <v>1</v>
      </c>
      <c r="D733" s="99"/>
      <c r="E733" s="87"/>
      <c r="F733" s="87"/>
      <c r="G733" s="101"/>
      <c r="H733" s="101"/>
      <c r="I733" s="101"/>
    </row>
    <row r="734" spans="1:9" x14ac:dyDescent="0.2">
      <c r="A734" s="97" t="s">
        <v>594</v>
      </c>
      <c r="B734" s="98" t="s">
        <v>595</v>
      </c>
      <c r="C734" s="99">
        <v>0.55020000000000002</v>
      </c>
      <c r="D734" s="99"/>
      <c r="E734" s="87"/>
      <c r="F734" s="87"/>
      <c r="G734" s="101"/>
      <c r="H734" s="101"/>
      <c r="I734" s="101"/>
    </row>
    <row r="735" spans="1:9" x14ac:dyDescent="0.2">
      <c r="A735" s="97" t="s">
        <v>596</v>
      </c>
      <c r="B735" s="98" t="s">
        <v>597</v>
      </c>
      <c r="C735" s="99">
        <v>1</v>
      </c>
      <c r="D735" s="103"/>
      <c r="E735" s="104"/>
      <c r="F735" s="87"/>
      <c r="G735" s="100"/>
      <c r="H735" s="87"/>
      <c r="I735" s="101"/>
    </row>
    <row r="736" spans="1:9" x14ac:dyDescent="0.2">
      <c r="A736" s="97" t="s">
        <v>598</v>
      </c>
      <c r="B736" s="98" t="s">
        <v>599</v>
      </c>
      <c r="C736" s="99">
        <v>1</v>
      </c>
      <c r="D736" s="99"/>
      <c r="E736" s="87"/>
      <c r="F736" s="87"/>
      <c r="G736" s="105"/>
      <c r="H736" s="101"/>
      <c r="I736" s="101"/>
    </row>
    <row r="737" spans="1:9" x14ac:dyDescent="0.2">
      <c r="A737" s="97" t="s">
        <v>600</v>
      </c>
      <c r="B737" s="98" t="s">
        <v>738</v>
      </c>
      <c r="C737" s="99">
        <v>0.5</v>
      </c>
      <c r="D737" s="103"/>
      <c r="E737" s="88"/>
      <c r="F737" s="89"/>
      <c r="G737" s="100"/>
      <c r="H737" s="101"/>
      <c r="I737" s="101"/>
    </row>
    <row r="738" spans="1:9" x14ac:dyDescent="0.2">
      <c r="A738" s="172" t="s">
        <v>901</v>
      </c>
      <c r="B738" s="98" t="s">
        <v>601</v>
      </c>
      <c r="C738" s="99">
        <v>1</v>
      </c>
      <c r="D738" s="90"/>
      <c r="E738" s="101"/>
      <c r="F738" s="106"/>
      <c r="G738" s="100"/>
      <c r="H738" s="101"/>
      <c r="I738" s="94"/>
    </row>
    <row r="739" spans="1:9" x14ac:dyDescent="0.2">
      <c r="A739" s="172" t="s">
        <v>902</v>
      </c>
      <c r="B739" s="98" t="s">
        <v>602</v>
      </c>
      <c r="C739" s="99">
        <v>0.55020000000000002</v>
      </c>
      <c r="D739" s="92"/>
      <c r="E739" s="87"/>
      <c r="F739" s="106"/>
      <c r="G739" s="101"/>
      <c r="H739" s="90"/>
      <c r="I739" s="94"/>
    </row>
    <row r="740" spans="1:9" x14ac:dyDescent="0.2">
      <c r="A740" s="97" t="s">
        <v>603</v>
      </c>
      <c r="B740" s="98" t="s">
        <v>604</v>
      </c>
      <c r="C740" s="99">
        <v>0.6</v>
      </c>
      <c r="D740" s="103"/>
      <c r="E740" s="104"/>
      <c r="F740" s="107"/>
      <c r="G740" s="100"/>
      <c r="H740" s="87"/>
      <c r="I740" s="101"/>
    </row>
    <row r="741" spans="1:9" ht="13.5" thickBot="1" x14ac:dyDescent="0.25">
      <c r="A741" s="172" t="s">
        <v>1241</v>
      </c>
      <c r="B741" s="231" t="s">
        <v>1242</v>
      </c>
      <c r="C741" s="99">
        <v>1</v>
      </c>
      <c r="D741" s="103"/>
      <c r="E741" s="104"/>
      <c r="F741" s="107"/>
      <c r="G741" s="100"/>
      <c r="H741" s="90"/>
      <c r="I741" s="101"/>
    </row>
    <row r="742" spans="1:9" ht="13.5" thickBot="1" x14ac:dyDescent="0.25">
      <c r="A742" s="59" t="s">
        <v>56</v>
      </c>
      <c r="B742" s="312"/>
      <c r="C742" s="264"/>
      <c r="D742" s="68">
        <f>SUM(D731:D741)</f>
        <v>0</v>
      </c>
      <c r="E742" s="68">
        <f t="shared" ref="E742:I742" si="31">SUM(E731:E741)</f>
        <v>0</v>
      </c>
      <c r="F742" s="68">
        <f t="shared" si="31"/>
        <v>0</v>
      </c>
      <c r="G742" s="68">
        <f t="shared" si="31"/>
        <v>0</v>
      </c>
      <c r="H742" s="68">
        <f t="shared" si="31"/>
        <v>0</v>
      </c>
      <c r="I742" s="68">
        <f t="shared" si="31"/>
        <v>0</v>
      </c>
    </row>
    <row r="743" spans="1:9" ht="13.5" thickBot="1" x14ac:dyDescent="0.25">
      <c r="A743" s="84"/>
      <c r="B743" s="84"/>
      <c r="C743" s="84"/>
      <c r="D743" s="84"/>
      <c r="E743" s="84"/>
      <c r="F743" s="84"/>
      <c r="G743" s="84"/>
      <c r="H743" s="84"/>
      <c r="I743" s="84"/>
    </row>
    <row r="744" spans="1:9" ht="13.5" thickBot="1" x14ac:dyDescent="0.25">
      <c r="A744" s="54" t="s">
        <v>27</v>
      </c>
      <c r="B744" s="84"/>
      <c r="C744" s="48"/>
      <c r="D744" s="48"/>
      <c r="E744" s="47"/>
      <c r="F744" s="84"/>
      <c r="G744" s="63" t="s">
        <v>56</v>
      </c>
      <c r="H744" s="64"/>
      <c r="I744" s="65">
        <f>SUM(D758:I758)</f>
        <v>0</v>
      </c>
    </row>
    <row r="745" spans="1:9" x14ac:dyDescent="0.2">
      <c r="A745" s="84"/>
      <c r="B745" s="133"/>
      <c r="C745" s="134"/>
      <c r="D745" s="134"/>
      <c r="E745" s="135"/>
      <c r="F745" s="84"/>
      <c r="G745" s="84"/>
      <c r="H745" s="84"/>
      <c r="I745" s="84"/>
    </row>
    <row r="746" spans="1:9" ht="25.5" x14ac:dyDescent="0.2">
      <c r="A746" s="67" t="s">
        <v>82</v>
      </c>
      <c r="B746" s="67" t="s">
        <v>83</v>
      </c>
      <c r="C746" s="67" t="s">
        <v>172</v>
      </c>
      <c r="D746" s="57" t="s">
        <v>173</v>
      </c>
      <c r="E746" s="57" t="s">
        <v>1022</v>
      </c>
      <c r="F746" s="58" t="s">
        <v>86</v>
      </c>
      <c r="G746" s="57" t="s">
        <v>87</v>
      </c>
      <c r="H746" s="57" t="s">
        <v>88</v>
      </c>
      <c r="I746" s="57" t="s">
        <v>89</v>
      </c>
    </row>
    <row r="747" spans="1:9" x14ac:dyDescent="0.2">
      <c r="A747" s="97" t="s">
        <v>605</v>
      </c>
      <c r="B747" s="98" t="s">
        <v>606</v>
      </c>
      <c r="C747" s="99">
        <v>1</v>
      </c>
      <c r="D747" s="103"/>
      <c r="E747" s="104"/>
      <c r="F747" s="104"/>
      <c r="G747" s="101"/>
      <c r="H747" s="101"/>
      <c r="I747" s="102"/>
    </row>
    <row r="748" spans="1:9" x14ac:dyDescent="0.2">
      <c r="A748" s="97" t="s">
        <v>1243</v>
      </c>
      <c r="B748" s="98" t="s">
        <v>1244</v>
      </c>
      <c r="C748" s="99">
        <v>1</v>
      </c>
      <c r="D748" s="103"/>
      <c r="E748" s="104"/>
      <c r="F748" s="107"/>
      <c r="G748" s="90"/>
      <c r="H748" s="90"/>
      <c r="I748" s="102"/>
    </row>
    <row r="749" spans="1:9" x14ac:dyDescent="0.2">
      <c r="A749" s="97" t="s">
        <v>607</v>
      </c>
      <c r="B749" s="98" t="s">
        <v>608</v>
      </c>
      <c r="C749" s="99">
        <v>0.6</v>
      </c>
      <c r="D749" s="103"/>
      <c r="E749" s="104"/>
      <c r="F749" s="107"/>
      <c r="G749" s="101"/>
      <c r="H749" s="90"/>
      <c r="I749" s="101"/>
    </row>
    <row r="750" spans="1:9" x14ac:dyDescent="0.2">
      <c r="A750" s="97" t="s">
        <v>609</v>
      </c>
      <c r="B750" s="98" t="s">
        <v>610</v>
      </c>
      <c r="C750" s="99">
        <v>1</v>
      </c>
      <c r="D750" s="103"/>
      <c r="E750" s="104"/>
      <c r="F750" s="87"/>
      <c r="G750" s="101"/>
      <c r="H750" s="90"/>
      <c r="I750" s="101"/>
    </row>
    <row r="751" spans="1:9" x14ac:dyDescent="0.2">
      <c r="A751" s="97" t="s">
        <v>611</v>
      </c>
      <c r="B751" s="98" t="s">
        <v>612</v>
      </c>
      <c r="C751" s="99">
        <v>0.6</v>
      </c>
      <c r="D751" s="103"/>
      <c r="E751" s="104"/>
      <c r="F751" s="87"/>
      <c r="G751" s="101"/>
      <c r="H751" s="90"/>
      <c r="I751" s="101"/>
    </row>
    <row r="752" spans="1:9" x14ac:dyDescent="0.2">
      <c r="A752" s="97" t="s">
        <v>613</v>
      </c>
      <c r="B752" s="98" t="s">
        <v>614</v>
      </c>
      <c r="C752" s="99">
        <v>1</v>
      </c>
      <c r="D752" s="103"/>
      <c r="E752" s="104"/>
      <c r="F752" s="89"/>
      <c r="G752" s="90"/>
      <c r="H752" s="90"/>
      <c r="I752" s="101"/>
    </row>
    <row r="753" spans="1:9" x14ac:dyDescent="0.2">
      <c r="A753" s="97" t="s">
        <v>1245</v>
      </c>
      <c r="B753" s="98" t="s">
        <v>677</v>
      </c>
      <c r="C753" s="99">
        <v>1</v>
      </c>
      <c r="D753" s="103"/>
      <c r="E753" s="104"/>
      <c r="F753" s="89"/>
      <c r="G753" s="90"/>
      <c r="H753" s="90"/>
      <c r="I753" s="102"/>
    </row>
    <row r="754" spans="1:9" x14ac:dyDescent="0.2">
      <c r="A754" s="97" t="s">
        <v>676</v>
      </c>
      <c r="B754" s="98" t="s">
        <v>678</v>
      </c>
      <c r="C754" s="99">
        <v>0.6</v>
      </c>
      <c r="D754" s="103"/>
      <c r="E754" s="104"/>
      <c r="F754" s="89"/>
      <c r="G754" s="90"/>
      <c r="H754" s="90"/>
      <c r="I754" s="101"/>
    </row>
    <row r="755" spans="1:9" x14ac:dyDescent="0.2">
      <c r="A755" s="97" t="s">
        <v>679</v>
      </c>
      <c r="B755" s="98" t="s">
        <v>456</v>
      </c>
      <c r="C755" s="99">
        <v>0.4</v>
      </c>
      <c r="D755" s="103"/>
      <c r="E755" s="104"/>
      <c r="F755" s="107"/>
      <c r="G755" s="90"/>
      <c r="H755" s="90"/>
      <c r="I755" s="101"/>
    </row>
    <row r="756" spans="1:9" x14ac:dyDescent="0.2">
      <c r="A756" s="172" t="s">
        <v>1246</v>
      </c>
      <c r="B756" s="231" t="s">
        <v>1247</v>
      </c>
      <c r="C756" s="99">
        <f>0.6+(0.4*8/12)</f>
        <v>0.8666666666666667</v>
      </c>
      <c r="D756" s="103"/>
      <c r="E756" s="104"/>
      <c r="F756" s="107"/>
      <c r="G756" s="90"/>
      <c r="H756" s="90"/>
      <c r="I756" s="101"/>
    </row>
    <row r="757" spans="1:9" ht="13.5" thickBot="1" x14ac:dyDescent="0.25">
      <c r="A757" s="172" t="s">
        <v>1248</v>
      </c>
      <c r="B757" s="231" t="s">
        <v>1249</v>
      </c>
      <c r="C757" s="99">
        <v>1</v>
      </c>
      <c r="D757" s="101"/>
      <c r="E757" s="104"/>
      <c r="F757" s="107"/>
      <c r="G757" s="90"/>
      <c r="H757" s="90"/>
      <c r="I757" s="102"/>
    </row>
    <row r="758" spans="1:9" ht="13.5" thickBot="1" x14ac:dyDescent="0.25">
      <c r="A758" s="59" t="s">
        <v>56</v>
      </c>
      <c r="B758" s="137"/>
      <c r="C758" s="138"/>
      <c r="D758" s="73">
        <f>SUM(D747:D757)</f>
        <v>0</v>
      </c>
      <c r="E758" s="73">
        <f t="shared" ref="E758:I758" si="32">SUM(E747:E757)</f>
        <v>0</v>
      </c>
      <c r="F758" s="73">
        <f t="shared" si="32"/>
        <v>0</v>
      </c>
      <c r="G758" s="73">
        <f t="shared" si="32"/>
        <v>0</v>
      </c>
      <c r="H758" s="73">
        <f t="shared" si="32"/>
        <v>0</v>
      </c>
      <c r="I758" s="73">
        <f t="shared" si="32"/>
        <v>0</v>
      </c>
    </row>
    <row r="759" spans="1:9" ht="13.5" thickBot="1" x14ac:dyDescent="0.25">
      <c r="A759" s="84"/>
      <c r="B759" s="84"/>
      <c r="C759" s="84"/>
      <c r="D759" s="84"/>
      <c r="E759" s="84"/>
      <c r="F759" s="84"/>
      <c r="G759" s="84"/>
      <c r="H759" s="84"/>
      <c r="I759" s="84"/>
    </row>
    <row r="760" spans="1:9" ht="13.5" thickBot="1" x14ac:dyDescent="0.25">
      <c r="A760" s="54" t="s">
        <v>21</v>
      </c>
      <c r="B760" s="84"/>
      <c r="C760" s="48"/>
      <c r="D760" s="48"/>
      <c r="E760" s="47"/>
      <c r="F760" s="84"/>
      <c r="G760" s="63" t="s">
        <v>56</v>
      </c>
      <c r="H760" s="64"/>
      <c r="I760" s="65">
        <f>SUM(D775:I775)</f>
        <v>0</v>
      </c>
    </row>
    <row r="761" spans="1:9" x14ac:dyDescent="0.2">
      <c r="A761" s="84"/>
      <c r="B761" s="133"/>
      <c r="C761" s="134"/>
      <c r="D761" s="134"/>
      <c r="E761" s="135"/>
      <c r="F761" s="84"/>
      <c r="G761" s="84"/>
      <c r="H761" s="84"/>
      <c r="I761" s="84"/>
    </row>
    <row r="762" spans="1:9" ht="25.5" x14ac:dyDescent="0.2">
      <c r="A762" s="67" t="s">
        <v>82</v>
      </c>
      <c r="B762" s="67" t="s">
        <v>83</v>
      </c>
      <c r="C762" s="67" t="s">
        <v>172</v>
      </c>
      <c r="D762" s="57" t="s">
        <v>173</v>
      </c>
      <c r="E762" s="57" t="s">
        <v>978</v>
      </c>
      <c r="F762" s="58" t="s">
        <v>86</v>
      </c>
      <c r="G762" s="57" t="s">
        <v>87</v>
      </c>
      <c r="H762" s="57" t="s">
        <v>88</v>
      </c>
      <c r="I762" s="57" t="s">
        <v>89</v>
      </c>
    </row>
    <row r="763" spans="1:9" x14ac:dyDescent="0.2">
      <c r="A763" s="313" t="s">
        <v>1250</v>
      </c>
      <c r="B763" s="119" t="s">
        <v>1251</v>
      </c>
      <c r="C763" s="99">
        <v>1</v>
      </c>
      <c r="D763" s="92"/>
      <c r="E763" s="104"/>
      <c r="F763" s="104"/>
      <c r="G763" s="101"/>
      <c r="H763" s="101"/>
      <c r="I763" s="102"/>
    </row>
    <row r="764" spans="1:9" x14ac:dyDescent="0.2">
      <c r="A764" s="313" t="s">
        <v>615</v>
      </c>
      <c r="B764" s="119" t="s">
        <v>811</v>
      </c>
      <c r="C764" s="99">
        <v>0.4</v>
      </c>
      <c r="D764" s="103"/>
      <c r="E764" s="104"/>
      <c r="F764" s="104"/>
      <c r="G764" s="101"/>
      <c r="H764" s="101"/>
      <c r="I764" s="102"/>
    </row>
    <row r="765" spans="1:9" x14ac:dyDescent="0.2">
      <c r="A765" s="313" t="s">
        <v>616</v>
      </c>
      <c r="B765" s="119" t="s">
        <v>812</v>
      </c>
      <c r="C765" s="99">
        <v>0.6</v>
      </c>
      <c r="D765" s="103"/>
      <c r="E765" s="104"/>
      <c r="F765" s="104"/>
      <c r="G765" s="101"/>
      <c r="H765" s="101"/>
      <c r="I765" s="102"/>
    </row>
    <row r="766" spans="1:9" x14ac:dyDescent="0.2">
      <c r="A766" s="154" t="s">
        <v>617</v>
      </c>
      <c r="B766" s="144" t="s">
        <v>813</v>
      </c>
      <c r="C766" s="175">
        <v>0.4</v>
      </c>
      <c r="D766" s="314"/>
      <c r="E766" s="315"/>
      <c r="F766" s="315"/>
      <c r="G766" s="102"/>
      <c r="H766" s="177"/>
      <c r="I766" s="316"/>
    </row>
    <row r="767" spans="1:9" x14ac:dyDescent="0.2">
      <c r="A767" s="154" t="s">
        <v>618</v>
      </c>
      <c r="B767" s="146" t="s">
        <v>814</v>
      </c>
      <c r="C767" s="175">
        <v>0.6</v>
      </c>
      <c r="D767" s="314"/>
      <c r="E767" s="315"/>
      <c r="F767" s="315"/>
      <c r="G767" s="239"/>
      <c r="H767" s="239"/>
      <c r="I767" s="102"/>
    </row>
    <row r="768" spans="1:9" x14ac:dyDescent="0.2">
      <c r="A768" s="154" t="s">
        <v>1252</v>
      </c>
      <c r="B768" s="146" t="s">
        <v>1253</v>
      </c>
      <c r="C768" s="175">
        <v>0.5</v>
      </c>
      <c r="D768" s="314"/>
      <c r="E768" s="315"/>
      <c r="F768" s="315"/>
      <c r="G768" s="239"/>
      <c r="H768" s="239"/>
      <c r="I768" s="102"/>
    </row>
    <row r="769" spans="1:9" x14ac:dyDescent="0.2">
      <c r="A769" s="154" t="s">
        <v>903</v>
      </c>
      <c r="B769" s="146" t="s">
        <v>815</v>
      </c>
      <c r="C769" s="175">
        <v>0.8</v>
      </c>
      <c r="D769" s="314"/>
      <c r="E769" s="317"/>
      <c r="F769" s="317"/>
      <c r="G769" s="316"/>
      <c r="H769" s="102"/>
      <c r="I769" s="316"/>
    </row>
    <row r="770" spans="1:9" x14ac:dyDescent="0.2">
      <c r="A770" s="229" t="s">
        <v>1254</v>
      </c>
      <c r="B770" s="98" t="s">
        <v>1255</v>
      </c>
      <c r="C770" s="99">
        <v>1</v>
      </c>
      <c r="D770" s="103"/>
      <c r="E770" s="104"/>
      <c r="F770" s="104"/>
      <c r="G770" s="101"/>
      <c r="H770" s="101"/>
      <c r="I770" s="102"/>
    </row>
    <row r="771" spans="1:9" x14ac:dyDescent="0.2">
      <c r="A771" s="97" t="s">
        <v>733</v>
      </c>
      <c r="B771" s="98" t="s">
        <v>816</v>
      </c>
      <c r="C771" s="99">
        <v>0.625</v>
      </c>
      <c r="D771" s="99"/>
      <c r="E771" s="101"/>
      <c r="F771" s="101"/>
      <c r="G771" s="102"/>
      <c r="H771" s="102"/>
      <c r="I771" s="318"/>
    </row>
    <row r="772" spans="1:9" x14ac:dyDescent="0.2">
      <c r="A772" s="97" t="s">
        <v>904</v>
      </c>
      <c r="B772" s="98" t="s">
        <v>907</v>
      </c>
      <c r="C772" s="99">
        <v>0.50770000000000004</v>
      </c>
      <c r="D772" s="99"/>
      <c r="E772" s="102"/>
      <c r="F772" s="101"/>
      <c r="G772" s="101"/>
      <c r="H772" s="101"/>
      <c r="I772" s="318"/>
    </row>
    <row r="773" spans="1:9" x14ac:dyDescent="0.2">
      <c r="A773" s="97" t="s">
        <v>905</v>
      </c>
      <c r="B773" s="98" t="s">
        <v>908</v>
      </c>
      <c r="C773" s="99">
        <v>1</v>
      </c>
      <c r="D773" s="99"/>
      <c r="E773" s="102"/>
      <c r="F773" s="102"/>
      <c r="G773" s="101"/>
      <c r="H773" s="101"/>
      <c r="I773" s="318"/>
    </row>
    <row r="774" spans="1:9" ht="13.5" thickBot="1" x14ac:dyDescent="0.25">
      <c r="A774" s="116" t="s">
        <v>906</v>
      </c>
      <c r="B774" s="110" t="s">
        <v>909</v>
      </c>
      <c r="C774" s="86">
        <v>0.625</v>
      </c>
      <c r="D774" s="86"/>
      <c r="E774" s="102"/>
      <c r="F774" s="102"/>
      <c r="G774" s="90"/>
      <c r="H774" s="90"/>
      <c r="I774" s="319"/>
    </row>
    <row r="775" spans="1:9" ht="13.5" thickBot="1" x14ac:dyDescent="0.25">
      <c r="A775" s="59" t="s">
        <v>56</v>
      </c>
      <c r="B775" s="137"/>
      <c r="C775" s="138"/>
      <c r="D775" s="73">
        <f t="shared" ref="D775:I775" si="33">SUM(D764:D774)</f>
        <v>0</v>
      </c>
      <c r="E775" s="73">
        <f t="shared" si="33"/>
        <v>0</v>
      </c>
      <c r="F775" s="73">
        <f t="shared" si="33"/>
        <v>0</v>
      </c>
      <c r="G775" s="73">
        <f t="shared" si="33"/>
        <v>0</v>
      </c>
      <c r="H775" s="73">
        <f t="shared" si="33"/>
        <v>0</v>
      </c>
      <c r="I775" s="62">
        <f t="shared" si="33"/>
        <v>0</v>
      </c>
    </row>
    <row r="776" spans="1:9" ht="13.5" thickBot="1" x14ac:dyDescent="0.25">
      <c r="A776" s="84"/>
      <c r="B776" s="84"/>
      <c r="C776" s="84"/>
      <c r="D776" s="84"/>
      <c r="E776" s="84"/>
      <c r="F776" s="84"/>
      <c r="G776" s="84"/>
      <c r="H776" s="84"/>
      <c r="I776" s="84"/>
    </row>
    <row r="777" spans="1:9" ht="13.5" thickBot="1" x14ac:dyDescent="0.25">
      <c r="A777" s="54" t="s">
        <v>23</v>
      </c>
      <c r="B777" s="84"/>
      <c r="C777" s="48"/>
      <c r="D777" s="48"/>
      <c r="E777" s="47"/>
      <c r="F777" s="84"/>
      <c r="G777" s="63" t="s">
        <v>56</v>
      </c>
      <c r="H777" s="64"/>
      <c r="I777" s="65">
        <f>SUM(D798:I798)</f>
        <v>0</v>
      </c>
    </row>
    <row r="778" spans="1:9" x14ac:dyDescent="0.2">
      <c r="A778" s="84"/>
      <c r="B778" s="133"/>
      <c r="C778" s="134"/>
      <c r="D778" s="134"/>
      <c r="E778" s="135"/>
      <c r="F778" s="84"/>
      <c r="G778" s="84"/>
      <c r="H778" s="84"/>
      <c r="I778" s="84"/>
    </row>
    <row r="779" spans="1:9" ht="25.5" x14ac:dyDescent="0.2">
      <c r="A779" s="67" t="s">
        <v>82</v>
      </c>
      <c r="B779" s="67" t="s">
        <v>83</v>
      </c>
      <c r="C779" s="67" t="s">
        <v>172</v>
      </c>
      <c r="D779" s="57" t="s">
        <v>173</v>
      </c>
      <c r="E779" s="57" t="s">
        <v>1022</v>
      </c>
      <c r="F779" s="58" t="s">
        <v>86</v>
      </c>
      <c r="G779" s="57" t="s">
        <v>87</v>
      </c>
      <c r="H779" s="57" t="s">
        <v>88</v>
      </c>
      <c r="I779" s="57" t="s">
        <v>89</v>
      </c>
    </row>
    <row r="780" spans="1:9" x14ac:dyDescent="0.2">
      <c r="A780" s="313" t="s">
        <v>734</v>
      </c>
      <c r="B780" s="98" t="s">
        <v>619</v>
      </c>
      <c r="C780" s="99">
        <v>1</v>
      </c>
      <c r="D780" s="103"/>
      <c r="E780" s="104"/>
      <c r="F780" s="104"/>
      <c r="G780" s="101"/>
      <c r="H780" s="113"/>
      <c r="I780" s="102"/>
    </row>
    <row r="781" spans="1:9" x14ac:dyDescent="0.2">
      <c r="A781" s="313" t="s">
        <v>620</v>
      </c>
      <c r="B781" s="98" t="s">
        <v>621</v>
      </c>
      <c r="C781" s="99">
        <v>1</v>
      </c>
      <c r="D781" s="109"/>
      <c r="E781" s="104"/>
      <c r="F781" s="104"/>
      <c r="G781" s="90"/>
      <c r="H781" s="101"/>
      <c r="I781" s="102"/>
    </row>
    <row r="782" spans="1:9" x14ac:dyDescent="0.2">
      <c r="A782" s="313" t="s">
        <v>1256</v>
      </c>
      <c r="B782" s="98" t="s">
        <v>1257</v>
      </c>
      <c r="C782" s="99">
        <v>1</v>
      </c>
      <c r="D782" s="103"/>
      <c r="E782" s="104"/>
      <c r="F782" s="104"/>
      <c r="G782" s="101"/>
      <c r="H782" s="101"/>
      <c r="I782" s="102"/>
    </row>
    <row r="783" spans="1:9" x14ac:dyDescent="0.2">
      <c r="A783" s="313" t="s">
        <v>1258</v>
      </c>
      <c r="B783" s="98" t="s">
        <v>1259</v>
      </c>
      <c r="C783" s="99">
        <v>1</v>
      </c>
      <c r="D783" s="109"/>
      <c r="E783" s="104"/>
      <c r="F783" s="87"/>
      <c r="G783" s="101"/>
      <c r="H783" s="101"/>
      <c r="I783" s="102"/>
    </row>
    <row r="784" spans="1:9" x14ac:dyDescent="0.2">
      <c r="A784" s="313" t="s">
        <v>622</v>
      </c>
      <c r="B784" s="98" t="s">
        <v>623</v>
      </c>
      <c r="C784" s="99">
        <v>1</v>
      </c>
      <c r="D784" s="103"/>
      <c r="E784" s="104"/>
      <c r="F784" s="104"/>
      <c r="G784" s="101"/>
      <c r="H784" s="101"/>
      <c r="I784" s="102"/>
    </row>
    <row r="785" spans="1:9" x14ac:dyDescent="0.2">
      <c r="A785" s="320" t="s">
        <v>1260</v>
      </c>
      <c r="B785" s="98" t="s">
        <v>1261</v>
      </c>
      <c r="C785" s="99">
        <v>1</v>
      </c>
      <c r="D785" s="103"/>
      <c r="E785" s="104"/>
      <c r="F785" s="104"/>
      <c r="G785" s="101"/>
      <c r="H785" s="101"/>
      <c r="I785" s="102"/>
    </row>
    <row r="786" spans="1:9" x14ac:dyDescent="0.2">
      <c r="A786" s="313" t="s">
        <v>1262</v>
      </c>
      <c r="B786" s="98" t="s">
        <v>1263</v>
      </c>
      <c r="C786" s="99">
        <v>0.8</v>
      </c>
      <c r="D786" s="103"/>
      <c r="E786" s="104"/>
      <c r="F786" s="104"/>
      <c r="G786" s="101"/>
      <c r="H786" s="101"/>
      <c r="I786" s="102"/>
    </row>
    <row r="787" spans="1:9" x14ac:dyDescent="0.2">
      <c r="A787" s="313" t="s">
        <v>624</v>
      </c>
      <c r="B787" s="98" t="s">
        <v>625</v>
      </c>
      <c r="C787" s="99">
        <v>0.4</v>
      </c>
      <c r="D787" s="103"/>
      <c r="E787" s="104"/>
      <c r="F787" s="104"/>
      <c r="G787" s="101"/>
      <c r="H787" s="101"/>
      <c r="I787" s="102"/>
    </row>
    <row r="788" spans="1:9" x14ac:dyDescent="0.2">
      <c r="A788" s="313" t="s">
        <v>626</v>
      </c>
      <c r="B788" s="98" t="s">
        <v>627</v>
      </c>
      <c r="C788" s="99">
        <v>1</v>
      </c>
      <c r="D788" s="103"/>
      <c r="E788" s="104"/>
      <c r="F788" s="104"/>
      <c r="G788" s="101"/>
      <c r="H788" s="101"/>
      <c r="I788" s="102"/>
    </row>
    <row r="789" spans="1:9" x14ac:dyDescent="0.2">
      <c r="A789" s="313" t="s">
        <v>628</v>
      </c>
      <c r="B789" s="98" t="s">
        <v>629</v>
      </c>
      <c r="C789" s="99">
        <v>0.6</v>
      </c>
      <c r="D789" s="103"/>
      <c r="E789" s="104"/>
      <c r="F789" s="104"/>
      <c r="G789" s="101"/>
      <c r="H789" s="101"/>
      <c r="I789" s="102"/>
    </row>
    <row r="790" spans="1:9" x14ac:dyDescent="0.2">
      <c r="A790" s="313" t="s">
        <v>630</v>
      </c>
      <c r="B790" s="98" t="s">
        <v>631</v>
      </c>
      <c r="C790" s="99">
        <v>0.6</v>
      </c>
      <c r="D790" s="103"/>
      <c r="E790" s="104"/>
      <c r="F790" s="104"/>
      <c r="G790" s="101"/>
      <c r="H790" s="101"/>
      <c r="I790" s="102"/>
    </row>
    <row r="791" spans="1:9" x14ac:dyDescent="0.2">
      <c r="A791" s="313" t="s">
        <v>1264</v>
      </c>
      <c r="B791" s="110" t="s">
        <v>1265</v>
      </c>
      <c r="C791" s="86">
        <v>1</v>
      </c>
      <c r="D791" s="117"/>
      <c r="E791" s="107"/>
      <c r="F791" s="93"/>
      <c r="G791" s="90"/>
      <c r="H791" s="90"/>
      <c r="I791" s="90"/>
    </row>
    <row r="792" spans="1:9" x14ac:dyDescent="0.2">
      <c r="A792" s="154" t="s">
        <v>735</v>
      </c>
      <c r="B792" s="146" t="s">
        <v>736</v>
      </c>
      <c r="C792" s="175">
        <v>0.6</v>
      </c>
      <c r="D792" s="175"/>
      <c r="E792" s="239"/>
      <c r="F792" s="321"/>
      <c r="G792" s="90"/>
      <c r="H792" s="90"/>
      <c r="I792" s="90"/>
    </row>
    <row r="793" spans="1:9" x14ac:dyDescent="0.2">
      <c r="A793" s="174" t="s">
        <v>1266</v>
      </c>
      <c r="B793" s="146" t="s">
        <v>1267</v>
      </c>
      <c r="C793" s="175">
        <v>1</v>
      </c>
      <c r="D793" s="175"/>
      <c r="E793" s="239"/>
      <c r="F793" s="321"/>
      <c r="G793" s="239"/>
      <c r="H793" s="239"/>
      <c r="I793" s="101"/>
    </row>
    <row r="794" spans="1:9" x14ac:dyDescent="0.2">
      <c r="A794" s="97" t="s">
        <v>910</v>
      </c>
      <c r="B794" s="146" t="s">
        <v>913</v>
      </c>
      <c r="C794" s="175">
        <v>1</v>
      </c>
      <c r="D794" s="175"/>
      <c r="E794" s="239"/>
      <c r="F794" s="321"/>
      <c r="G794" s="101"/>
      <c r="H794" s="239"/>
      <c r="I794" s="102"/>
    </row>
    <row r="795" spans="1:9" x14ac:dyDescent="0.2">
      <c r="A795" s="322" t="s">
        <v>911</v>
      </c>
      <c r="B795" s="323" t="s">
        <v>914</v>
      </c>
      <c r="C795" s="175">
        <v>1</v>
      </c>
      <c r="D795" s="101"/>
      <c r="E795" s="239"/>
      <c r="F795" s="321"/>
      <c r="G795" s="239"/>
      <c r="H795" s="239"/>
      <c r="I795" s="101"/>
    </row>
    <row r="796" spans="1:9" x14ac:dyDescent="0.2">
      <c r="A796" s="322" t="s">
        <v>912</v>
      </c>
      <c r="B796" s="323" t="s">
        <v>915</v>
      </c>
      <c r="C796" s="175">
        <v>1</v>
      </c>
      <c r="D796" s="324"/>
      <c r="E796" s="239"/>
      <c r="F796" s="321"/>
      <c r="G796" s="239"/>
      <c r="H796" s="239"/>
      <c r="I796" s="101"/>
    </row>
    <row r="797" spans="1:9" ht="13.5" thickBot="1" x14ac:dyDescent="0.25">
      <c r="A797" s="322" t="s">
        <v>1268</v>
      </c>
      <c r="B797" s="323" t="s">
        <v>1269</v>
      </c>
      <c r="C797" s="175">
        <v>1</v>
      </c>
      <c r="D797" s="175"/>
      <c r="E797" s="239"/>
      <c r="F797" s="321"/>
      <c r="G797" s="239"/>
      <c r="H797" s="239"/>
      <c r="I797" s="102"/>
    </row>
    <row r="798" spans="1:9" ht="13.5" thickBot="1" x14ac:dyDescent="0.25">
      <c r="A798" s="59" t="s">
        <v>56</v>
      </c>
      <c r="B798" s="137"/>
      <c r="C798" s="138"/>
      <c r="D798" s="73">
        <f t="shared" ref="D798:I798" si="34">SUM(D780:D797)</f>
        <v>0</v>
      </c>
      <c r="E798" s="73">
        <f t="shared" si="34"/>
        <v>0</v>
      </c>
      <c r="F798" s="73">
        <f t="shared" si="34"/>
        <v>0</v>
      </c>
      <c r="G798" s="73">
        <f t="shared" si="34"/>
        <v>0</v>
      </c>
      <c r="H798" s="73">
        <f t="shared" si="34"/>
        <v>0</v>
      </c>
      <c r="I798" s="73">
        <f t="shared" si="34"/>
        <v>0</v>
      </c>
    </row>
    <row r="799" spans="1:9" ht="13.5" thickBot="1" x14ac:dyDescent="0.25">
      <c r="A799" s="84"/>
      <c r="B799" s="84"/>
      <c r="C799" s="84"/>
      <c r="D799" s="84"/>
      <c r="E799" s="84"/>
      <c r="F799" s="84"/>
      <c r="G799" s="84"/>
      <c r="H799" s="84"/>
      <c r="I799" s="84"/>
    </row>
    <row r="800" spans="1:9" ht="13.5" thickBot="1" x14ac:dyDescent="0.25">
      <c r="A800" s="54" t="s">
        <v>34</v>
      </c>
      <c r="B800" s="43"/>
      <c r="C800" s="48"/>
      <c r="D800" s="48"/>
      <c r="E800" s="47"/>
      <c r="F800" s="84"/>
      <c r="G800" s="63" t="s">
        <v>56</v>
      </c>
      <c r="H800" s="64"/>
      <c r="I800" s="65">
        <f>SUM(D811:I811)</f>
        <v>0</v>
      </c>
    </row>
    <row r="801" spans="1:9" x14ac:dyDescent="0.2">
      <c r="A801" s="84"/>
      <c r="B801" s="133"/>
      <c r="C801" s="134"/>
      <c r="D801" s="134"/>
      <c r="E801" s="135"/>
      <c r="F801" s="84"/>
      <c r="G801" s="84"/>
      <c r="H801" s="84"/>
      <c r="I801" s="84"/>
    </row>
    <row r="802" spans="1:9" ht="25.5" x14ac:dyDescent="0.2">
      <c r="A802" s="67" t="s">
        <v>82</v>
      </c>
      <c r="B802" s="67" t="s">
        <v>83</v>
      </c>
      <c r="C802" s="67" t="s">
        <v>172</v>
      </c>
      <c r="D802" s="79" t="s">
        <v>632</v>
      </c>
      <c r="E802" s="57" t="s">
        <v>1022</v>
      </c>
      <c r="F802" s="58" t="s">
        <v>86</v>
      </c>
      <c r="G802" s="57" t="s">
        <v>87</v>
      </c>
      <c r="H802" s="57" t="s">
        <v>88</v>
      </c>
      <c r="I802" s="57" t="s">
        <v>89</v>
      </c>
    </row>
    <row r="803" spans="1:9" x14ac:dyDescent="0.2">
      <c r="A803" s="97" t="s">
        <v>633</v>
      </c>
      <c r="B803" s="98" t="s">
        <v>634</v>
      </c>
      <c r="C803" s="99">
        <v>1</v>
      </c>
      <c r="D803" s="99"/>
      <c r="E803" s="87"/>
      <c r="F803" s="87"/>
      <c r="G803" s="90"/>
      <c r="H803" s="90"/>
      <c r="I803" s="101"/>
    </row>
    <row r="804" spans="1:9" x14ac:dyDescent="0.2">
      <c r="A804" s="97" t="s">
        <v>635</v>
      </c>
      <c r="B804" s="98" t="s">
        <v>636</v>
      </c>
      <c r="C804" s="99">
        <f>(0.9*(5/12))+(0.6*(7/12))</f>
        <v>0.72500000000000009</v>
      </c>
      <c r="D804" s="92"/>
      <c r="E804" s="90"/>
      <c r="F804" s="101"/>
      <c r="G804" s="101"/>
      <c r="H804" s="90"/>
      <c r="I804" s="90"/>
    </row>
    <row r="805" spans="1:9" x14ac:dyDescent="0.2">
      <c r="A805" s="97" t="s">
        <v>637</v>
      </c>
      <c r="B805" s="98" t="s">
        <v>638</v>
      </c>
      <c r="C805" s="99">
        <v>1</v>
      </c>
      <c r="D805" s="92"/>
      <c r="E805" s="90"/>
      <c r="F805" s="101"/>
      <c r="G805" s="325"/>
      <c r="H805" s="90"/>
      <c r="I805" s="90"/>
    </row>
    <row r="806" spans="1:9" x14ac:dyDescent="0.2">
      <c r="A806" s="97" t="s">
        <v>916</v>
      </c>
      <c r="B806" s="98" t="s">
        <v>917</v>
      </c>
      <c r="C806" s="99">
        <v>0.4</v>
      </c>
      <c r="D806" s="90"/>
      <c r="E806" s="90"/>
      <c r="F806" s="87"/>
      <c r="G806" s="101"/>
      <c r="H806" s="90"/>
      <c r="I806" s="90"/>
    </row>
    <row r="807" spans="1:9" x14ac:dyDescent="0.2">
      <c r="A807" s="97" t="s">
        <v>1270</v>
      </c>
      <c r="B807" s="98" t="s">
        <v>1271</v>
      </c>
      <c r="C807" s="99">
        <v>0.4</v>
      </c>
      <c r="D807" s="92"/>
      <c r="E807" s="90"/>
      <c r="F807" s="87"/>
      <c r="G807" s="101"/>
      <c r="H807" s="90"/>
      <c r="I807" s="90"/>
    </row>
    <row r="808" spans="1:9" x14ac:dyDescent="0.2">
      <c r="A808" s="97" t="s">
        <v>1272</v>
      </c>
      <c r="B808" s="98" t="s">
        <v>1273</v>
      </c>
      <c r="C808" s="99">
        <v>0.5</v>
      </c>
      <c r="D808" s="99"/>
      <c r="E808" s="87"/>
      <c r="F808" s="87"/>
      <c r="G808" s="84"/>
      <c r="H808" s="90"/>
      <c r="I808" s="102"/>
    </row>
    <row r="809" spans="1:9" x14ac:dyDescent="0.2">
      <c r="A809" s="116" t="s">
        <v>639</v>
      </c>
      <c r="B809" s="110" t="s">
        <v>640</v>
      </c>
      <c r="C809" s="86">
        <v>1</v>
      </c>
      <c r="D809" s="86"/>
      <c r="E809" s="90"/>
      <c r="F809" s="93"/>
      <c r="G809" s="101"/>
      <c r="H809" s="93"/>
      <c r="I809" s="93"/>
    </row>
    <row r="810" spans="1:9" x14ac:dyDescent="0.2">
      <c r="A810" s="172" t="s">
        <v>1274</v>
      </c>
      <c r="B810" s="231" t="s">
        <v>918</v>
      </c>
      <c r="C810" s="99">
        <v>1</v>
      </c>
      <c r="D810" s="99"/>
      <c r="E810" s="101"/>
      <c r="F810" s="87"/>
      <c r="G810" s="101"/>
      <c r="H810" s="87"/>
      <c r="I810" s="87"/>
    </row>
    <row r="811" spans="1:9" ht="13.5" thickBot="1" x14ac:dyDescent="0.25">
      <c r="A811" s="69" t="s">
        <v>56</v>
      </c>
      <c r="B811" s="223"/>
      <c r="C811" s="224"/>
      <c r="D811" s="225">
        <f>SUM(D803:D810)</f>
        <v>0</v>
      </c>
      <c r="E811" s="225">
        <f t="shared" ref="E811:I811" si="35">SUM(E803:E810)</f>
        <v>0</v>
      </c>
      <c r="F811" s="225">
        <f t="shared" si="35"/>
        <v>0</v>
      </c>
      <c r="G811" s="225">
        <f t="shared" si="35"/>
        <v>0</v>
      </c>
      <c r="H811" s="225">
        <f t="shared" si="35"/>
        <v>0</v>
      </c>
      <c r="I811" s="225">
        <f t="shared" si="35"/>
        <v>0</v>
      </c>
    </row>
    <row r="812" spans="1:9" ht="13.5" thickBot="1" x14ac:dyDescent="0.25">
      <c r="A812" s="84"/>
      <c r="B812" s="84"/>
      <c r="C812" s="84"/>
      <c r="D812" s="84"/>
      <c r="E812" s="84"/>
      <c r="F812" s="84"/>
      <c r="G812" s="84"/>
      <c r="H812" s="84"/>
      <c r="I812" s="84"/>
    </row>
    <row r="813" spans="1:9" ht="13.5" thickBot="1" x14ac:dyDescent="0.25">
      <c r="A813" s="54" t="s">
        <v>47</v>
      </c>
      <c r="B813" s="84"/>
      <c r="C813" s="48"/>
      <c r="D813" s="134"/>
      <c r="E813" s="84"/>
      <c r="F813" s="84"/>
      <c r="G813" s="63" t="s">
        <v>56</v>
      </c>
      <c r="H813" s="64"/>
      <c r="I813" s="65">
        <f>SUM(D822:I822)</f>
        <v>0</v>
      </c>
    </row>
    <row r="814" spans="1:9" x14ac:dyDescent="0.2">
      <c r="A814" s="84"/>
      <c r="B814" s="133"/>
      <c r="C814" s="134"/>
      <c r="D814" s="134"/>
      <c r="E814" s="135"/>
      <c r="F814" s="84"/>
      <c r="G814" s="84"/>
      <c r="H814" s="84"/>
      <c r="I814" s="84"/>
    </row>
    <row r="815" spans="1:9" ht="25.5" x14ac:dyDescent="0.2">
      <c r="A815" s="67" t="s">
        <v>82</v>
      </c>
      <c r="B815" s="67" t="s">
        <v>83</v>
      </c>
      <c r="C815" s="67" t="s">
        <v>172</v>
      </c>
      <c r="D815" s="57" t="s">
        <v>173</v>
      </c>
      <c r="E815" s="57" t="s">
        <v>978</v>
      </c>
      <c r="F815" s="58" t="s">
        <v>86</v>
      </c>
      <c r="G815" s="57" t="s">
        <v>87</v>
      </c>
      <c r="H815" s="57" t="s">
        <v>88</v>
      </c>
      <c r="I815" s="57" t="s">
        <v>89</v>
      </c>
    </row>
    <row r="816" spans="1:9" x14ac:dyDescent="0.2">
      <c r="A816" s="147" t="s">
        <v>641</v>
      </c>
      <c r="B816" s="112" t="s">
        <v>795</v>
      </c>
      <c r="C816" s="99">
        <v>0.6</v>
      </c>
      <c r="D816" s="92"/>
      <c r="E816" s="104"/>
      <c r="F816" s="101"/>
      <c r="G816" s="90"/>
      <c r="H816" s="101"/>
      <c r="I816" s="44"/>
    </row>
    <row r="817" spans="1:9" x14ac:dyDescent="0.2">
      <c r="A817" s="147" t="s">
        <v>1275</v>
      </c>
      <c r="B817" s="147">
        <v>500887</v>
      </c>
      <c r="C817" s="99">
        <v>1</v>
      </c>
      <c r="D817" s="326"/>
      <c r="E817" s="104"/>
      <c r="F817" s="87"/>
      <c r="G817" s="90"/>
      <c r="H817" s="101"/>
      <c r="I817" s="44"/>
    </row>
    <row r="818" spans="1:9" x14ac:dyDescent="0.2">
      <c r="A818" s="147" t="s">
        <v>642</v>
      </c>
      <c r="B818" s="147">
        <v>502623</v>
      </c>
      <c r="C818" s="99">
        <v>1</v>
      </c>
      <c r="D818" s="101"/>
      <c r="E818" s="101"/>
      <c r="F818" s="87"/>
      <c r="G818" s="44"/>
      <c r="H818" s="44"/>
      <c r="I818" s="44"/>
    </row>
    <row r="819" spans="1:9" x14ac:dyDescent="0.2">
      <c r="A819" s="97" t="s">
        <v>643</v>
      </c>
      <c r="B819" s="98" t="s">
        <v>644</v>
      </c>
      <c r="C819" s="99">
        <v>0.6</v>
      </c>
      <c r="D819" s="92"/>
      <c r="E819" s="101"/>
      <c r="F819" s="101"/>
      <c r="G819" s="101"/>
      <c r="H819" s="101"/>
      <c r="I819" s="101"/>
    </row>
    <row r="820" spans="1:9" x14ac:dyDescent="0.2">
      <c r="A820" s="97" t="s">
        <v>796</v>
      </c>
      <c r="B820" s="98" t="s">
        <v>797</v>
      </c>
      <c r="C820" s="99">
        <v>0.4</v>
      </c>
      <c r="D820" s="101"/>
      <c r="E820" s="101"/>
      <c r="F820" s="87"/>
      <c r="G820" s="101"/>
      <c r="H820" s="101"/>
      <c r="I820" s="101"/>
    </row>
    <row r="821" spans="1:9" ht="13.5" thickBot="1" x14ac:dyDescent="0.25">
      <c r="A821" s="116" t="s">
        <v>919</v>
      </c>
      <c r="B821" s="110" t="s">
        <v>920</v>
      </c>
      <c r="C821" s="86">
        <v>0.6</v>
      </c>
      <c r="D821" s="90"/>
      <c r="E821" s="101"/>
      <c r="F821" s="101"/>
      <c r="G821" s="90"/>
      <c r="H821" s="90"/>
      <c r="I821" s="90"/>
    </row>
    <row r="822" spans="1:9" ht="13.5" thickBot="1" x14ac:dyDescent="0.25">
      <c r="A822" s="59" t="s">
        <v>56</v>
      </c>
      <c r="B822" s="137"/>
      <c r="C822" s="138"/>
      <c r="D822" s="73">
        <f t="shared" ref="D822:I822" si="36">SUM(D816:D821)</f>
        <v>0</v>
      </c>
      <c r="E822" s="73">
        <f t="shared" si="36"/>
        <v>0</v>
      </c>
      <c r="F822" s="73">
        <f t="shared" si="36"/>
        <v>0</v>
      </c>
      <c r="G822" s="73">
        <f t="shared" si="36"/>
        <v>0</v>
      </c>
      <c r="H822" s="73">
        <f t="shared" si="36"/>
        <v>0</v>
      </c>
      <c r="I822" s="62">
        <f t="shared" si="36"/>
        <v>0</v>
      </c>
    </row>
    <row r="823" spans="1:9" ht="13.5" thickBot="1" x14ac:dyDescent="0.25">
      <c r="A823" s="84"/>
      <c r="B823" s="84"/>
      <c r="C823" s="84"/>
      <c r="D823" s="84"/>
      <c r="E823" s="84"/>
      <c r="F823" s="84"/>
      <c r="G823" s="84"/>
      <c r="H823" s="84"/>
      <c r="I823" s="84"/>
    </row>
    <row r="824" spans="1:9" ht="13.5" thickBot="1" x14ac:dyDescent="0.25">
      <c r="A824" s="54" t="s">
        <v>48</v>
      </c>
      <c r="B824" s="84"/>
      <c r="C824" s="48"/>
      <c r="D824" s="134"/>
      <c r="E824" s="2"/>
      <c r="F824" s="84"/>
      <c r="G824" s="63" t="s">
        <v>56</v>
      </c>
      <c r="H824" s="64"/>
      <c r="I824" s="65">
        <f>SUM(D832:I832)</f>
        <v>0</v>
      </c>
    </row>
    <row r="825" spans="1:9" x14ac:dyDescent="0.2">
      <c r="A825" s="84"/>
      <c r="B825" s="133"/>
      <c r="C825" s="134"/>
      <c r="D825" s="134"/>
      <c r="E825" s="135"/>
      <c r="F825" s="84"/>
      <c r="G825" s="84"/>
      <c r="H825" s="84"/>
      <c r="I825" s="84"/>
    </row>
    <row r="826" spans="1:9" ht="25.5" x14ac:dyDescent="0.2">
      <c r="A826" s="67" t="s">
        <v>82</v>
      </c>
      <c r="B826" s="67" t="s">
        <v>83</v>
      </c>
      <c r="C826" s="67" t="s">
        <v>172</v>
      </c>
      <c r="D826" s="57" t="s">
        <v>173</v>
      </c>
      <c r="E826" s="57" t="s">
        <v>978</v>
      </c>
      <c r="F826" s="58" t="s">
        <v>86</v>
      </c>
      <c r="G826" s="57" t="s">
        <v>87</v>
      </c>
      <c r="H826" s="57" t="s">
        <v>88</v>
      </c>
      <c r="I826" s="57" t="s">
        <v>89</v>
      </c>
    </row>
    <row r="827" spans="1:9" x14ac:dyDescent="0.2">
      <c r="A827" s="303" t="s">
        <v>840</v>
      </c>
      <c r="B827" s="306" t="s">
        <v>841</v>
      </c>
      <c r="C827" s="196">
        <v>0.4</v>
      </c>
      <c r="D827" s="253"/>
      <c r="E827" s="253"/>
      <c r="F827" s="253"/>
      <c r="G827" s="253"/>
      <c r="H827" s="253"/>
      <c r="I827" s="327"/>
    </row>
    <row r="828" spans="1:9" x14ac:dyDescent="0.2">
      <c r="A828" s="147" t="s">
        <v>1276</v>
      </c>
      <c r="B828" s="147">
        <v>504700</v>
      </c>
      <c r="C828" s="99">
        <v>1</v>
      </c>
      <c r="D828" s="92"/>
      <c r="E828" s="101"/>
      <c r="F828" s="44"/>
      <c r="G828" s="44"/>
      <c r="H828" s="101"/>
      <c r="I828" s="44"/>
    </row>
    <row r="829" spans="1:9" x14ac:dyDescent="0.2">
      <c r="A829" s="148" t="s">
        <v>1277</v>
      </c>
      <c r="B829" s="85" t="s">
        <v>1278</v>
      </c>
      <c r="C829" s="86">
        <v>1</v>
      </c>
      <c r="D829" s="90"/>
      <c r="E829" s="90"/>
      <c r="F829" s="149"/>
      <c r="G829" s="149"/>
      <c r="H829" s="90"/>
      <c r="I829" s="149"/>
    </row>
    <row r="830" spans="1:9" x14ac:dyDescent="0.2">
      <c r="A830" s="148" t="s">
        <v>921</v>
      </c>
      <c r="B830" s="85">
        <v>503243</v>
      </c>
      <c r="C830" s="86">
        <v>0.56920000000000004</v>
      </c>
      <c r="D830" s="101"/>
      <c r="E830" s="90"/>
      <c r="F830" s="149"/>
      <c r="G830" s="149"/>
      <c r="H830" s="90"/>
      <c r="I830" s="149"/>
    </row>
    <row r="831" spans="1:9" ht="13.5" thickBot="1" x14ac:dyDescent="0.25">
      <c r="A831" s="148" t="s">
        <v>922</v>
      </c>
      <c r="B831" s="85">
        <v>506509</v>
      </c>
      <c r="C831" s="86">
        <v>0.8</v>
      </c>
      <c r="D831" s="101"/>
      <c r="E831" s="90"/>
      <c r="F831" s="149"/>
      <c r="G831" s="149"/>
      <c r="H831" s="90"/>
      <c r="I831" s="149"/>
    </row>
    <row r="832" spans="1:9" ht="13.5" thickBot="1" x14ac:dyDescent="0.25">
      <c r="A832" s="59" t="s">
        <v>56</v>
      </c>
      <c r="B832" s="137"/>
      <c r="C832" s="138"/>
      <c r="D832" s="73">
        <f t="shared" ref="D832:I832" si="37">SUM(D827:D831)</f>
        <v>0</v>
      </c>
      <c r="E832" s="73">
        <f t="shared" si="37"/>
        <v>0</v>
      </c>
      <c r="F832" s="73">
        <f t="shared" si="37"/>
        <v>0</v>
      </c>
      <c r="G832" s="73">
        <f t="shared" si="37"/>
        <v>0</v>
      </c>
      <c r="H832" s="73">
        <f t="shared" si="37"/>
        <v>0</v>
      </c>
      <c r="I832" s="62">
        <f t="shared" si="37"/>
        <v>0</v>
      </c>
    </row>
    <row r="833" spans="1:9" x14ac:dyDescent="0.2">
      <c r="A833" s="84"/>
      <c r="B833" s="84"/>
      <c r="C833" s="84"/>
      <c r="D833" s="84"/>
      <c r="E833" s="84"/>
      <c r="F833" s="84"/>
      <c r="G833" s="84"/>
      <c r="H833" s="84"/>
      <c r="I833" s="84"/>
    </row>
    <row r="834" spans="1:9" x14ac:dyDescent="0.2">
      <c r="B834" s="49"/>
    </row>
    <row r="835" spans="1:9" x14ac:dyDescent="0.2">
      <c r="B835" s="49"/>
      <c r="I835" s="55">
        <f>I824+I813+I800+I777+I760+I744+I728+I710+I697+I682+I660+I647+I635+I624+I612+I595+I579+I563+I540+I526+I511+I402+I383+I375+I365+I352+I346+I337+I264+I251+I235+I224+I212+I151+I141+I132+I113+I105+I6</f>
        <v>0</v>
      </c>
    </row>
    <row r="836" spans="1:9" x14ac:dyDescent="0.2">
      <c r="B836" s="49"/>
    </row>
    <row r="837" spans="1:9" x14ac:dyDescent="0.2">
      <c r="B837" s="49"/>
    </row>
    <row r="838" spans="1:9" x14ac:dyDescent="0.2">
      <c r="B838" s="49"/>
    </row>
    <row r="839" spans="1:9" x14ac:dyDescent="0.2">
      <c r="B839" s="49"/>
    </row>
    <row r="840" spans="1:9" x14ac:dyDescent="0.2">
      <c r="B840" s="49"/>
    </row>
    <row r="841" spans="1:9" x14ac:dyDescent="0.2">
      <c r="B841" s="49"/>
    </row>
    <row r="842" spans="1:9" x14ac:dyDescent="0.2">
      <c r="B842" s="49"/>
    </row>
    <row r="843" spans="1:9" x14ac:dyDescent="0.2">
      <c r="B843" s="49"/>
    </row>
    <row r="844" spans="1:9" x14ac:dyDescent="0.2">
      <c r="B844" s="49"/>
    </row>
    <row r="845" spans="1:9" x14ac:dyDescent="0.2">
      <c r="B845" s="49"/>
    </row>
    <row r="846" spans="1:9" x14ac:dyDescent="0.2">
      <c r="B846" s="49"/>
    </row>
    <row r="847" spans="1:9" x14ac:dyDescent="0.2">
      <c r="B847" s="49"/>
    </row>
    <row r="848" spans="1:9" x14ac:dyDescent="0.2">
      <c r="B848" s="49"/>
    </row>
    <row r="849" spans="2:2" x14ac:dyDescent="0.2">
      <c r="B849" s="49"/>
    </row>
    <row r="850" spans="2:2" x14ac:dyDescent="0.2">
      <c r="B850" s="49"/>
    </row>
    <row r="851" spans="2:2" x14ac:dyDescent="0.2">
      <c r="B851" s="49"/>
    </row>
    <row r="852" spans="2:2" x14ac:dyDescent="0.2">
      <c r="B852" s="49"/>
    </row>
    <row r="853" spans="2:2" x14ac:dyDescent="0.2">
      <c r="B853" s="49"/>
    </row>
    <row r="854" spans="2:2" x14ac:dyDescent="0.2">
      <c r="B854" s="49"/>
    </row>
    <row r="855" spans="2:2" x14ac:dyDescent="0.2">
      <c r="B855" s="49"/>
    </row>
    <row r="856" spans="2:2" x14ac:dyDescent="0.2">
      <c r="B856" s="49"/>
    </row>
    <row r="857" spans="2:2" x14ac:dyDescent="0.2">
      <c r="B857" s="49"/>
    </row>
    <row r="858" spans="2:2" x14ac:dyDescent="0.2">
      <c r="B858" s="49"/>
    </row>
    <row r="859" spans="2:2" x14ac:dyDescent="0.2">
      <c r="B859" s="49"/>
    </row>
    <row r="860" spans="2:2" x14ac:dyDescent="0.2">
      <c r="B860" s="49"/>
    </row>
    <row r="861" spans="2:2" x14ac:dyDescent="0.2">
      <c r="B861" s="49"/>
    </row>
    <row r="862" spans="2:2" x14ac:dyDescent="0.2">
      <c r="B862" s="49"/>
    </row>
    <row r="863" spans="2:2" x14ac:dyDescent="0.2">
      <c r="B863" s="49"/>
    </row>
    <row r="864" spans="2:2" x14ac:dyDescent="0.2">
      <c r="B864" s="49"/>
    </row>
    <row r="865" spans="2:2" x14ac:dyDescent="0.2">
      <c r="B865" s="49"/>
    </row>
    <row r="866" spans="2:2" x14ac:dyDescent="0.2">
      <c r="B866" s="49"/>
    </row>
    <row r="867" spans="2:2" x14ac:dyDescent="0.2">
      <c r="B867" s="49"/>
    </row>
    <row r="868" spans="2:2" x14ac:dyDescent="0.2">
      <c r="B868" s="49"/>
    </row>
    <row r="869" spans="2:2" x14ac:dyDescent="0.2">
      <c r="B869" s="49"/>
    </row>
    <row r="870" spans="2:2" x14ac:dyDescent="0.2">
      <c r="B870" s="49"/>
    </row>
    <row r="871" spans="2:2" x14ac:dyDescent="0.2">
      <c r="B871" s="49"/>
    </row>
    <row r="872" spans="2:2" x14ac:dyDescent="0.2">
      <c r="B872" s="49"/>
    </row>
    <row r="873" spans="2:2" x14ac:dyDescent="0.2">
      <c r="B873" s="49"/>
    </row>
    <row r="874" spans="2:2" x14ac:dyDescent="0.2">
      <c r="B874" s="49"/>
    </row>
    <row r="875" spans="2:2" x14ac:dyDescent="0.2">
      <c r="B875" s="49"/>
    </row>
    <row r="876" spans="2:2" x14ac:dyDescent="0.2">
      <c r="B876" s="49"/>
    </row>
    <row r="877" spans="2:2" x14ac:dyDescent="0.2">
      <c r="B877" s="49"/>
    </row>
    <row r="878" spans="2:2" x14ac:dyDescent="0.2">
      <c r="B878" s="49"/>
    </row>
    <row r="879" spans="2:2" x14ac:dyDescent="0.2">
      <c r="B879" s="49"/>
    </row>
    <row r="880" spans="2:2" x14ac:dyDescent="0.2">
      <c r="B880" s="49"/>
    </row>
    <row r="881" spans="2:2" x14ac:dyDescent="0.2">
      <c r="B881" s="49"/>
    </row>
    <row r="882" spans="2:2" x14ac:dyDescent="0.2">
      <c r="B882" s="49"/>
    </row>
    <row r="883" spans="2:2" x14ac:dyDescent="0.2">
      <c r="B883" s="49"/>
    </row>
    <row r="884" spans="2:2" x14ac:dyDescent="0.2">
      <c r="B884" s="49"/>
    </row>
    <row r="885" spans="2:2" x14ac:dyDescent="0.2">
      <c r="B885" s="49"/>
    </row>
    <row r="886" spans="2:2" x14ac:dyDescent="0.2">
      <c r="B886" s="49"/>
    </row>
    <row r="887" spans="2:2" x14ac:dyDescent="0.2">
      <c r="B887" s="49"/>
    </row>
    <row r="888" spans="2:2" x14ac:dyDescent="0.2">
      <c r="B888" s="49"/>
    </row>
    <row r="889" spans="2:2" x14ac:dyDescent="0.2">
      <c r="B889" s="49"/>
    </row>
    <row r="890" spans="2:2" x14ac:dyDescent="0.2">
      <c r="B890" s="49"/>
    </row>
    <row r="891" spans="2:2" x14ac:dyDescent="0.2">
      <c r="B891" s="49"/>
    </row>
    <row r="892" spans="2:2" x14ac:dyDescent="0.2">
      <c r="B892" s="49"/>
    </row>
    <row r="893" spans="2:2" x14ac:dyDescent="0.2">
      <c r="B893" s="49"/>
    </row>
    <row r="894" spans="2:2" x14ac:dyDescent="0.2">
      <c r="B894" s="49"/>
    </row>
    <row r="895" spans="2:2" x14ac:dyDescent="0.2">
      <c r="B895" s="49"/>
    </row>
    <row r="896" spans="2:2" x14ac:dyDescent="0.2">
      <c r="B896" s="49"/>
    </row>
    <row r="897" spans="2:2" x14ac:dyDescent="0.2">
      <c r="B897" s="49"/>
    </row>
    <row r="898" spans="2:2" x14ac:dyDescent="0.2">
      <c r="B898" s="49"/>
    </row>
    <row r="899" spans="2:2" x14ac:dyDescent="0.2">
      <c r="B899" s="49"/>
    </row>
    <row r="900" spans="2:2" x14ac:dyDescent="0.2">
      <c r="B900" s="49"/>
    </row>
    <row r="901" spans="2:2" x14ac:dyDescent="0.2">
      <c r="B901" s="49"/>
    </row>
    <row r="902" spans="2:2" x14ac:dyDescent="0.2">
      <c r="B902" s="49"/>
    </row>
    <row r="903" spans="2:2" x14ac:dyDescent="0.2">
      <c r="B903" s="49"/>
    </row>
    <row r="904" spans="2:2" x14ac:dyDescent="0.2">
      <c r="B904" s="49"/>
    </row>
    <row r="905" spans="2:2" x14ac:dyDescent="0.2">
      <c r="B905" s="49"/>
    </row>
    <row r="906" spans="2:2" x14ac:dyDescent="0.2">
      <c r="B906" s="49"/>
    </row>
    <row r="907" spans="2:2" x14ac:dyDescent="0.2">
      <c r="B907" s="49"/>
    </row>
    <row r="908" spans="2:2" x14ac:dyDescent="0.2">
      <c r="B908" s="49"/>
    </row>
    <row r="909" spans="2:2" x14ac:dyDescent="0.2">
      <c r="B909" s="49"/>
    </row>
    <row r="910" spans="2:2" x14ac:dyDescent="0.2">
      <c r="B910" s="49"/>
    </row>
    <row r="911" spans="2:2" x14ac:dyDescent="0.2">
      <c r="B911" s="49"/>
    </row>
    <row r="912" spans="2:2" x14ac:dyDescent="0.2">
      <c r="B912" s="49"/>
    </row>
    <row r="913" spans="2:2" x14ac:dyDescent="0.2">
      <c r="B913" s="49"/>
    </row>
    <row r="914" spans="2:2" x14ac:dyDescent="0.2">
      <c r="B914" s="49"/>
    </row>
    <row r="915" spans="2:2" x14ac:dyDescent="0.2">
      <c r="B915" s="49"/>
    </row>
    <row r="916" spans="2:2" x14ac:dyDescent="0.2">
      <c r="B916" s="49"/>
    </row>
    <row r="917" spans="2:2" x14ac:dyDescent="0.2">
      <c r="B917" s="49"/>
    </row>
    <row r="918" spans="2:2" x14ac:dyDescent="0.2">
      <c r="B918" s="49"/>
    </row>
    <row r="919" spans="2:2" x14ac:dyDescent="0.2">
      <c r="B919" s="49"/>
    </row>
    <row r="920" spans="2:2" x14ac:dyDescent="0.2">
      <c r="B920" s="49"/>
    </row>
    <row r="921" spans="2:2" x14ac:dyDescent="0.2">
      <c r="B921" s="49"/>
    </row>
    <row r="922" spans="2:2" x14ac:dyDescent="0.2">
      <c r="B922" s="49"/>
    </row>
    <row r="923" spans="2:2" x14ac:dyDescent="0.2">
      <c r="B923" s="49"/>
    </row>
    <row r="924" spans="2:2" x14ac:dyDescent="0.2">
      <c r="B924" s="49"/>
    </row>
    <row r="925" spans="2:2" x14ac:dyDescent="0.2">
      <c r="B925" s="49"/>
    </row>
    <row r="926" spans="2:2" x14ac:dyDescent="0.2">
      <c r="B926" s="49"/>
    </row>
    <row r="927" spans="2:2" x14ac:dyDescent="0.2">
      <c r="B927" s="49"/>
    </row>
    <row r="928" spans="2:2" x14ac:dyDescent="0.2">
      <c r="B928" s="49"/>
    </row>
    <row r="929" spans="2:2" x14ac:dyDescent="0.2">
      <c r="B929" s="49"/>
    </row>
  </sheetData>
  <phoneticPr fontId="0" type="noConversion"/>
  <pageMargins left="0.24" right="0.24" top="0.68" bottom="0.62" header="0.5" footer="0.5"/>
  <pageSetup paperSize="9" scale="59" fitToHeight="100" orientation="portrait" r:id="rId1"/>
  <headerFooter alignWithMargins="0"/>
  <rowBreaks count="2" manualBreakCount="2">
    <brk id="79" max="16383" man="1"/>
    <brk id="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AB2A1-431A-4A1A-A6C3-52C5C288A3FB}">
  <dimension ref="A1:J62"/>
  <sheetViews>
    <sheetView tabSelected="1" zoomScale="80" zoomScaleNormal="80" workbookViewId="0">
      <selection activeCell="J2" sqref="J2"/>
    </sheetView>
  </sheetViews>
  <sheetFormatPr defaultColWidth="11.28515625" defaultRowHeight="12.75" x14ac:dyDescent="0.2"/>
  <cols>
    <col min="1" max="1" width="4.140625" customWidth="1"/>
    <col min="2" max="2" width="41.7109375" customWidth="1"/>
    <col min="3" max="3" width="14.28515625" customWidth="1"/>
    <col min="4" max="9" width="16.42578125" customWidth="1"/>
    <col min="10" max="10" width="18" bestFit="1" customWidth="1"/>
  </cols>
  <sheetData>
    <row r="1" spans="1:10" ht="15.75" x14ac:dyDescent="0.25">
      <c r="A1" s="342" t="s">
        <v>1288</v>
      </c>
      <c r="B1" s="342"/>
      <c r="C1" s="343" t="s">
        <v>1289</v>
      </c>
      <c r="D1" s="344" t="str">
        <f>[4]Lookup!G2</f>
        <v>2022-23</v>
      </c>
      <c r="E1" s="343" t="s">
        <v>1290</v>
      </c>
      <c r="F1" s="345" t="str">
        <f>LEAName</f>
        <v>Monmouthshire County Council</v>
      </c>
      <c r="G1" s="346"/>
      <c r="H1" s="346"/>
      <c r="I1" s="343"/>
      <c r="J1" s="344"/>
    </row>
    <row r="2" spans="1:10" ht="15.75" x14ac:dyDescent="0.25">
      <c r="A2" s="347"/>
      <c r="I2" s="343"/>
      <c r="J2" s="344"/>
    </row>
    <row r="3" spans="1:10" ht="15.75" x14ac:dyDescent="0.25">
      <c r="A3" s="342"/>
    </row>
    <row r="5" spans="1:10" x14ac:dyDescent="0.2">
      <c r="B5" s="348" t="s">
        <v>1291</v>
      </c>
      <c r="C5" s="348" t="s">
        <v>1292</v>
      </c>
      <c r="D5" s="349" t="s">
        <v>1293</v>
      </c>
      <c r="E5" s="349" t="s">
        <v>1294</v>
      </c>
      <c r="F5" s="349" t="s">
        <v>1295</v>
      </c>
      <c r="G5" s="348" t="s">
        <v>1296</v>
      </c>
      <c r="H5" s="348" t="s">
        <v>1297</v>
      </c>
      <c r="I5" s="348" t="s">
        <v>1298</v>
      </c>
      <c r="J5" s="348" t="s">
        <v>1299</v>
      </c>
    </row>
    <row r="6" spans="1:10" ht="15.75" x14ac:dyDescent="0.25">
      <c r="A6" s="342"/>
      <c r="B6" s="350" t="s">
        <v>1300</v>
      </c>
      <c r="C6" s="351" t="s">
        <v>1301</v>
      </c>
      <c r="D6" s="352" t="s">
        <v>1302</v>
      </c>
      <c r="E6" s="352" t="s">
        <v>1303</v>
      </c>
      <c r="F6" s="353" t="s">
        <v>1304</v>
      </c>
      <c r="G6" s="354" t="s">
        <v>1305</v>
      </c>
      <c r="H6" s="355"/>
      <c r="I6" s="352" t="s">
        <v>1306</v>
      </c>
      <c r="J6" s="352" t="s">
        <v>1307</v>
      </c>
    </row>
    <row r="7" spans="1:10" ht="15.75" x14ac:dyDescent="0.25">
      <c r="A7" s="342"/>
      <c r="B7" s="356"/>
      <c r="C7" s="357" t="s">
        <v>1308</v>
      </c>
      <c r="D7" s="358" t="s">
        <v>1309</v>
      </c>
      <c r="E7" s="353" t="s">
        <v>1309</v>
      </c>
      <c r="F7" s="353" t="s">
        <v>1310</v>
      </c>
      <c r="G7" s="352" t="s">
        <v>1311</v>
      </c>
      <c r="H7" s="352" t="s">
        <v>1311</v>
      </c>
      <c r="I7" s="353" t="s">
        <v>1312</v>
      </c>
      <c r="J7" s="353" t="s">
        <v>1313</v>
      </c>
    </row>
    <row r="8" spans="1:10" ht="15.75" x14ac:dyDescent="0.25">
      <c r="A8" s="342"/>
      <c r="B8" s="356"/>
      <c r="C8" s="357" t="s">
        <v>1314</v>
      </c>
      <c r="D8" s="358" t="s">
        <v>1315</v>
      </c>
      <c r="E8" s="353" t="s">
        <v>1315</v>
      </c>
      <c r="F8" s="353" t="s">
        <v>1316</v>
      </c>
      <c r="G8" s="353" t="s">
        <v>1317</v>
      </c>
      <c r="H8" s="353" t="s">
        <v>1318</v>
      </c>
      <c r="I8" s="353" t="s">
        <v>1319</v>
      </c>
      <c r="J8" s="353" t="s">
        <v>1320</v>
      </c>
    </row>
    <row r="9" spans="1:10" ht="15.75" x14ac:dyDescent="0.25">
      <c r="A9" s="342"/>
      <c r="B9" s="359"/>
      <c r="C9" s="360"/>
      <c r="D9" s="361" t="s">
        <v>1321</v>
      </c>
      <c r="E9" s="361"/>
      <c r="F9" s="361"/>
      <c r="G9" s="361" t="s">
        <v>1322</v>
      </c>
      <c r="H9" s="361" t="s">
        <v>64</v>
      </c>
      <c r="I9" s="361" t="s">
        <v>1322</v>
      </c>
      <c r="J9" s="361" t="s">
        <v>1322</v>
      </c>
    </row>
    <row r="10" spans="1:10" ht="15.75" x14ac:dyDescent="0.2">
      <c r="A10" s="362" t="s">
        <v>1323</v>
      </c>
      <c r="C10" t="s">
        <v>1324</v>
      </c>
    </row>
    <row r="11" spans="1:10" ht="15" x14ac:dyDescent="0.2">
      <c r="B11" s="363" t="s">
        <v>1325</v>
      </c>
      <c r="C11" s="364">
        <v>2057</v>
      </c>
      <c r="D11" s="365"/>
      <c r="E11" s="366"/>
      <c r="F11" s="367">
        <v>207</v>
      </c>
      <c r="G11" s="367">
        <f>832762/1000</f>
        <v>832.76199999999994</v>
      </c>
      <c r="H11" s="368">
        <f>IF(F11="",0,G11/F11*1000)</f>
        <v>4023.0048309178742</v>
      </c>
      <c r="I11" s="367">
        <f>70365/1000</f>
        <v>70.364999999999995</v>
      </c>
      <c r="J11" s="367">
        <f>91+2</f>
        <v>93</v>
      </c>
    </row>
    <row r="12" spans="1:10" ht="15" x14ac:dyDescent="0.2">
      <c r="B12" s="363" t="s">
        <v>1326</v>
      </c>
      <c r="C12" s="364">
        <v>2134</v>
      </c>
      <c r="D12" s="365"/>
      <c r="E12" s="366"/>
      <c r="F12" s="367">
        <v>174</v>
      </c>
      <c r="G12" s="367">
        <f>773404.983406931/1000</f>
        <v>773.40498340693102</v>
      </c>
      <c r="H12" s="368">
        <f t="shared" ref="H12:H40" si="0">IF(F12="",0,G12/F12*1000)</f>
        <v>4444.8562264766151</v>
      </c>
      <c r="I12" s="367">
        <f>98502/1000</f>
        <v>98.501999999999995</v>
      </c>
      <c r="J12" s="367">
        <v>68</v>
      </c>
    </row>
    <row r="13" spans="1:10" ht="15" x14ac:dyDescent="0.2">
      <c r="B13" s="363" t="s">
        <v>1327</v>
      </c>
      <c r="C13" s="364">
        <v>2163</v>
      </c>
      <c r="D13" s="365"/>
      <c r="E13" s="366"/>
      <c r="F13" s="367">
        <v>345</v>
      </c>
      <c r="G13" s="367">
        <f>1309575.22094036/1000</f>
        <v>1309.5752209403602</v>
      </c>
      <c r="H13" s="368">
        <f t="shared" si="0"/>
        <v>3795.8702056242323</v>
      </c>
      <c r="I13" s="367">
        <f>133928/1000</f>
        <v>133.928</v>
      </c>
      <c r="J13" s="367">
        <v>161</v>
      </c>
    </row>
    <row r="14" spans="1:10" ht="15" x14ac:dyDescent="0.2">
      <c r="B14" s="363" t="s">
        <v>1328</v>
      </c>
      <c r="C14" s="364">
        <v>2164</v>
      </c>
      <c r="D14" s="365"/>
      <c r="E14" s="366"/>
      <c r="F14" s="367">
        <v>197</v>
      </c>
      <c r="G14" s="367">
        <f>822881.878900414/1000</f>
        <v>822.88187890041399</v>
      </c>
      <c r="H14" s="368">
        <f t="shared" si="0"/>
        <v>4177.0653751290047</v>
      </c>
      <c r="I14" s="367">
        <f>92577/1000</f>
        <v>92.576999999999998</v>
      </c>
      <c r="J14" s="367">
        <v>97</v>
      </c>
    </row>
    <row r="15" spans="1:10" ht="15" x14ac:dyDescent="0.2">
      <c r="B15" s="363" t="s">
        <v>1329</v>
      </c>
      <c r="C15" s="364">
        <v>2228</v>
      </c>
      <c r="D15" s="365"/>
      <c r="E15" s="366"/>
      <c r="F15" s="367">
        <v>212</v>
      </c>
      <c r="G15" s="367">
        <f>1248201.62048804/1000</f>
        <v>1248.2016204880399</v>
      </c>
      <c r="H15" s="368">
        <f t="shared" si="0"/>
        <v>5887.7434928681132</v>
      </c>
      <c r="I15" s="367">
        <f>431880.96/1000</f>
        <v>431.88096000000002</v>
      </c>
      <c r="J15" s="367">
        <v>134</v>
      </c>
    </row>
    <row r="16" spans="1:10" ht="15" x14ac:dyDescent="0.2">
      <c r="B16" s="363" t="s">
        <v>1330</v>
      </c>
      <c r="C16" s="364">
        <v>2243</v>
      </c>
      <c r="D16" s="365"/>
      <c r="E16" s="366"/>
      <c r="F16" s="367">
        <v>76</v>
      </c>
      <c r="G16" s="367">
        <f>353055.115126736/1000</f>
        <v>353.05511512673598</v>
      </c>
      <c r="H16" s="368">
        <f t="shared" si="0"/>
        <v>4645.4620411412634</v>
      </c>
      <c r="I16" s="367">
        <v>17.384</v>
      </c>
      <c r="J16" s="367">
        <v>33</v>
      </c>
    </row>
    <row r="17" spans="1:10" ht="15" x14ac:dyDescent="0.2">
      <c r="B17" s="363" t="s">
        <v>1331</v>
      </c>
      <c r="C17" s="364">
        <v>2246</v>
      </c>
      <c r="D17" s="365"/>
      <c r="E17" s="366"/>
      <c r="F17" s="367">
        <v>278.5</v>
      </c>
      <c r="G17" s="367">
        <f>1107915.18558046/1000</f>
        <v>1107.9151855804598</v>
      </c>
      <c r="H17" s="368">
        <f t="shared" si="0"/>
        <v>3978.1514742565882</v>
      </c>
      <c r="I17" s="367">
        <f>98484/1000</f>
        <v>98.483999999999995</v>
      </c>
      <c r="J17" s="367">
        <v>197</v>
      </c>
    </row>
    <row r="18" spans="1:10" ht="15" x14ac:dyDescent="0.2">
      <c r="B18" s="363" t="s">
        <v>1332</v>
      </c>
      <c r="C18" s="364">
        <v>2261</v>
      </c>
      <c r="D18" s="365"/>
      <c r="E18" s="366"/>
      <c r="F18" s="367">
        <v>216</v>
      </c>
      <c r="G18" s="367">
        <f>860552.687809936/1000</f>
        <v>860.55268780993606</v>
      </c>
      <c r="H18" s="368">
        <f t="shared" si="0"/>
        <v>3984.0402213422967</v>
      </c>
      <c r="I18" s="367">
        <f>75362/1000</f>
        <v>75.361999999999995</v>
      </c>
      <c r="J18" s="367">
        <v>141</v>
      </c>
    </row>
    <row r="19" spans="1:10" ht="15" x14ac:dyDescent="0.2">
      <c r="B19" s="363" t="s">
        <v>1333</v>
      </c>
      <c r="C19" s="364">
        <v>2263</v>
      </c>
      <c r="D19" s="365"/>
      <c r="E19" s="366"/>
      <c r="F19" s="367">
        <v>73</v>
      </c>
      <c r="G19" s="367">
        <f>350058.611409812/1000</f>
        <v>350.05861140981199</v>
      </c>
      <c r="H19" s="368">
        <f t="shared" si="0"/>
        <v>4795.3234439700273</v>
      </c>
      <c r="I19" s="367">
        <v>13.019</v>
      </c>
      <c r="J19" s="367">
        <v>49</v>
      </c>
    </row>
    <row r="20" spans="1:10" ht="15" x14ac:dyDescent="0.2">
      <c r="B20" s="363" t="s">
        <v>1334</v>
      </c>
      <c r="C20" s="364">
        <v>2299</v>
      </c>
      <c r="D20" s="365"/>
      <c r="E20" s="366"/>
      <c r="F20" s="367">
        <v>198</v>
      </c>
      <c r="G20" s="367">
        <f>747945.520251549/1000</f>
        <v>747.94552025154894</v>
      </c>
      <c r="H20" s="368">
        <f t="shared" si="0"/>
        <v>3777.5026275330756</v>
      </c>
      <c r="I20" s="367">
        <f>44660/1000</f>
        <v>44.66</v>
      </c>
      <c r="J20" s="367">
        <v>84</v>
      </c>
    </row>
    <row r="21" spans="1:10" ht="15" x14ac:dyDescent="0.2">
      <c r="B21" s="363" t="s">
        <v>1335</v>
      </c>
      <c r="C21" s="364">
        <v>2301</v>
      </c>
      <c r="D21" s="365"/>
      <c r="E21" s="366"/>
      <c r="F21" s="367">
        <v>173</v>
      </c>
      <c r="G21" s="367">
        <f>744640.660647612/1000</f>
        <v>744.64066064761198</v>
      </c>
      <c r="H21" s="368">
        <f t="shared" si="0"/>
        <v>4304.2812754197221</v>
      </c>
      <c r="I21" s="367">
        <f>63983/1000</f>
        <v>63.982999999999997</v>
      </c>
      <c r="J21" s="367">
        <v>75</v>
      </c>
    </row>
    <row r="22" spans="1:10" ht="15" x14ac:dyDescent="0.2">
      <c r="B22" s="363" t="s">
        <v>1336</v>
      </c>
      <c r="C22" s="364">
        <v>2303</v>
      </c>
      <c r="D22" s="365"/>
      <c r="E22" s="366"/>
      <c r="F22" s="367">
        <v>383</v>
      </c>
      <c r="G22" s="367">
        <f>1298348.67203708/1000</f>
        <v>1298.34867203708</v>
      </c>
      <c r="H22" s="368">
        <f t="shared" si="0"/>
        <v>3389.9443134127414</v>
      </c>
      <c r="I22" s="367">
        <f>48435/1000</f>
        <v>48.435000000000002</v>
      </c>
      <c r="J22" s="367">
        <v>159</v>
      </c>
    </row>
    <row r="23" spans="1:10" ht="15" x14ac:dyDescent="0.2">
      <c r="B23" s="363" t="s">
        <v>1337</v>
      </c>
      <c r="C23" s="364">
        <v>2304</v>
      </c>
      <c r="D23" s="365"/>
      <c r="E23" s="366"/>
      <c r="F23" s="367">
        <v>347.5</v>
      </c>
      <c r="G23" s="367">
        <f>1796553.47667375/1000</f>
        <v>1796.5534766737501</v>
      </c>
      <c r="H23" s="368">
        <f t="shared" si="0"/>
        <v>5169.9380623705038</v>
      </c>
      <c r="I23" s="367">
        <f>624159.904/1000</f>
        <v>624.15990399999998</v>
      </c>
      <c r="J23" s="367">
        <v>242</v>
      </c>
    </row>
    <row r="24" spans="1:10" ht="15" x14ac:dyDescent="0.2">
      <c r="B24" s="363" t="s">
        <v>1338</v>
      </c>
      <c r="C24" s="364">
        <v>2305</v>
      </c>
      <c r="D24" s="365"/>
      <c r="E24" s="366"/>
      <c r="F24" s="367">
        <v>172</v>
      </c>
      <c r="G24" s="367">
        <f>736684.661793479/1000</f>
        <v>736.68466179347899</v>
      </c>
      <c r="H24" s="368">
        <f t="shared" si="0"/>
        <v>4283.0503592644127</v>
      </c>
      <c r="I24" s="367">
        <f>52347/1000</f>
        <v>52.347000000000001</v>
      </c>
      <c r="J24" s="367">
        <v>60</v>
      </c>
    </row>
    <row r="25" spans="1:10" ht="15" x14ac:dyDescent="0.2">
      <c r="B25" s="363" t="s">
        <v>1339</v>
      </c>
      <c r="C25" s="364">
        <v>2317</v>
      </c>
      <c r="D25" s="365"/>
      <c r="E25" s="366"/>
      <c r="F25" s="367">
        <v>268</v>
      </c>
      <c r="G25" s="367">
        <f>947085.027695162/1000</f>
        <v>947.08502769516201</v>
      </c>
      <c r="H25" s="368">
        <f t="shared" si="0"/>
        <v>3533.8993570714997</v>
      </c>
      <c r="I25" s="367">
        <f>35391/1000</f>
        <v>35.390999999999998</v>
      </c>
      <c r="J25" s="367">
        <v>129</v>
      </c>
    </row>
    <row r="26" spans="1:10" ht="15" x14ac:dyDescent="0.2">
      <c r="B26" s="363" t="s">
        <v>1340</v>
      </c>
      <c r="C26" s="364">
        <v>2318</v>
      </c>
      <c r="D26" s="365"/>
      <c r="E26" s="366"/>
      <c r="F26" s="367">
        <v>100</v>
      </c>
      <c r="G26" s="367">
        <f>514374.668506367/1000</f>
        <v>514.37466850636702</v>
      </c>
      <c r="H26" s="368">
        <f t="shared" si="0"/>
        <v>5143.7466850636702</v>
      </c>
      <c r="I26" s="367">
        <v>25.675999999999998</v>
      </c>
      <c r="J26" s="367">
        <v>65</v>
      </c>
    </row>
    <row r="27" spans="1:10" ht="15" x14ac:dyDescent="0.2">
      <c r="B27" s="363" t="s">
        <v>1341</v>
      </c>
      <c r="C27" s="364">
        <v>2319</v>
      </c>
      <c r="D27" s="365"/>
      <c r="E27" s="366"/>
      <c r="F27" s="367">
        <v>221</v>
      </c>
      <c r="G27" s="367">
        <f>870573.907740695/1000</f>
        <v>870.57390774069506</v>
      </c>
      <c r="H27" s="368">
        <f t="shared" si="0"/>
        <v>3939.2484513153622</v>
      </c>
      <c r="I27" s="367">
        <f>71181/1000</f>
        <v>71.180999999999997</v>
      </c>
      <c r="J27" s="367">
        <v>108</v>
      </c>
    </row>
    <row r="28" spans="1:10" ht="15.75" x14ac:dyDescent="0.25">
      <c r="A28" s="342"/>
      <c r="B28" s="363" t="s">
        <v>1342</v>
      </c>
      <c r="C28" s="364">
        <v>2320</v>
      </c>
      <c r="D28" s="365"/>
      <c r="E28" s="366"/>
      <c r="F28" s="367">
        <v>281</v>
      </c>
      <c r="G28" s="367">
        <f>1202690.76691974/1000</f>
        <v>1202.6907669197401</v>
      </c>
      <c r="H28" s="368">
        <f t="shared" si="0"/>
        <v>4280.0383164403556</v>
      </c>
      <c r="I28" s="367">
        <f>151043/1000</f>
        <v>151.04300000000001</v>
      </c>
      <c r="J28" s="367">
        <v>253</v>
      </c>
    </row>
    <row r="29" spans="1:10" ht="15" x14ac:dyDescent="0.2">
      <c r="B29" s="363" t="s">
        <v>1343</v>
      </c>
      <c r="C29" s="364">
        <v>2321</v>
      </c>
      <c r="D29" s="365"/>
      <c r="E29" s="366"/>
      <c r="F29" s="367">
        <v>165.5</v>
      </c>
      <c r="G29" s="367">
        <f>762385.640063183/1000</f>
        <v>762.38564006318302</v>
      </c>
      <c r="H29" s="368">
        <f t="shared" si="0"/>
        <v>4606.5597586899275</v>
      </c>
      <c r="I29" s="367">
        <f>57867/1000</f>
        <v>57.866999999999997</v>
      </c>
      <c r="J29" s="367">
        <v>118</v>
      </c>
    </row>
    <row r="30" spans="1:10" ht="15" x14ac:dyDescent="0.2">
      <c r="B30" s="363" t="s">
        <v>1344</v>
      </c>
      <c r="C30" s="364">
        <v>2322</v>
      </c>
      <c r="D30" s="365"/>
      <c r="E30" s="366"/>
      <c r="F30" s="367">
        <v>185</v>
      </c>
      <c r="G30" s="367">
        <f>807571.649499452/1000</f>
        <v>807.57164949945195</v>
      </c>
      <c r="H30" s="368">
        <f t="shared" si="0"/>
        <v>4365.2521594564969</v>
      </c>
      <c r="I30" s="367">
        <f>98362/1000</f>
        <v>98.361999999999995</v>
      </c>
      <c r="J30" s="367">
        <v>117</v>
      </c>
    </row>
    <row r="31" spans="1:10" ht="15" x14ac:dyDescent="0.2">
      <c r="B31" s="363" t="s">
        <v>1345</v>
      </c>
      <c r="C31" s="364">
        <v>2323</v>
      </c>
      <c r="D31" s="365"/>
      <c r="E31" s="366"/>
      <c r="F31" s="367">
        <v>204</v>
      </c>
      <c r="G31" s="367">
        <f>820941.660672093/1000</f>
        <v>820.94166067209301</v>
      </c>
      <c r="H31" s="368">
        <f t="shared" si="0"/>
        <v>4024.2238268239853</v>
      </c>
      <c r="I31" s="367">
        <f>88165/1000</f>
        <v>88.165000000000006</v>
      </c>
      <c r="J31" s="367">
        <v>100</v>
      </c>
    </row>
    <row r="32" spans="1:10" ht="15" x14ac:dyDescent="0.2">
      <c r="B32" s="363" t="s">
        <v>1346</v>
      </c>
      <c r="C32" s="364">
        <v>2324</v>
      </c>
      <c r="D32" s="365"/>
      <c r="E32" s="366"/>
      <c r="F32" s="367">
        <v>230.5</v>
      </c>
      <c r="G32" s="367">
        <f>1029314.23401553/1000</f>
        <v>1029.31423401553</v>
      </c>
      <c r="H32" s="368">
        <f t="shared" si="0"/>
        <v>4465.5715141671581</v>
      </c>
      <c r="I32" s="367">
        <f>204070/1000</f>
        <v>204.07</v>
      </c>
      <c r="J32" s="367">
        <v>169</v>
      </c>
    </row>
    <row r="33" spans="1:10" ht="15" x14ac:dyDescent="0.2">
      <c r="B33" s="363" t="s">
        <v>1347</v>
      </c>
      <c r="C33" s="364">
        <v>3004</v>
      </c>
      <c r="D33" s="365"/>
      <c r="E33" s="366"/>
      <c r="F33" s="367">
        <v>189</v>
      </c>
      <c r="G33" s="367">
        <f>757069.730758103/1000</f>
        <v>757.06973075810299</v>
      </c>
      <c r="H33" s="368">
        <f t="shared" si="0"/>
        <v>4005.6599511010741</v>
      </c>
      <c r="I33" s="367">
        <f>52427/1000</f>
        <v>52.427</v>
      </c>
      <c r="J33" s="367">
        <v>98</v>
      </c>
    </row>
    <row r="34" spans="1:10" ht="15" x14ac:dyDescent="0.2">
      <c r="B34" s="363" t="s">
        <v>1348</v>
      </c>
      <c r="C34" s="364">
        <v>3022</v>
      </c>
      <c r="D34" s="365"/>
      <c r="E34" s="366"/>
      <c r="F34" s="367">
        <v>275</v>
      </c>
      <c r="G34" s="367">
        <f>1030647.76031129/1000</f>
        <v>1030.6477603112901</v>
      </c>
      <c r="H34" s="368">
        <f t="shared" si="0"/>
        <v>3747.8100374956002</v>
      </c>
      <c r="I34" s="367">
        <f>93095/1000</f>
        <v>93.094999999999999</v>
      </c>
      <c r="J34" s="367">
        <v>126</v>
      </c>
    </row>
    <row r="35" spans="1:10" ht="15" x14ac:dyDescent="0.2">
      <c r="B35" s="363" t="s">
        <v>1349</v>
      </c>
      <c r="C35" s="364">
        <v>3031</v>
      </c>
      <c r="D35" s="365"/>
      <c r="E35" s="366"/>
      <c r="F35" s="367">
        <v>185</v>
      </c>
      <c r="G35" s="367">
        <f>764875.326321905/1000</f>
        <v>764.87532632190505</v>
      </c>
      <c r="H35" s="368">
        <f t="shared" si="0"/>
        <v>4134.461223361649</v>
      </c>
      <c r="I35" s="367">
        <f>66888/1000</f>
        <v>66.888000000000005</v>
      </c>
      <c r="J35" s="367">
        <v>83</v>
      </c>
    </row>
    <row r="36" spans="1:10" ht="15.75" x14ac:dyDescent="0.25">
      <c r="A36" s="342"/>
      <c r="B36" s="363" t="s">
        <v>1350</v>
      </c>
      <c r="C36" s="364">
        <v>3032</v>
      </c>
      <c r="D36" s="365"/>
      <c r="E36" s="366"/>
      <c r="F36" s="367">
        <v>204</v>
      </c>
      <c r="G36" s="367">
        <f>764480.477870011/1000</f>
        <v>764.48047787001099</v>
      </c>
      <c r="H36" s="368">
        <f t="shared" si="0"/>
        <v>3747.453322892211</v>
      </c>
      <c r="I36" s="367">
        <f>42550/1000</f>
        <v>42.55</v>
      </c>
      <c r="J36" s="367">
        <v>78</v>
      </c>
    </row>
    <row r="37" spans="1:10" ht="15" x14ac:dyDescent="0.2">
      <c r="B37" s="363" t="s">
        <v>1351</v>
      </c>
      <c r="C37" s="364">
        <v>3310</v>
      </c>
      <c r="D37" s="365"/>
      <c r="E37" s="366"/>
      <c r="F37" s="367">
        <v>284</v>
      </c>
      <c r="G37" s="367">
        <f>1115106.15299043/1000</f>
        <v>1115.1061529904298</v>
      </c>
      <c r="H37" s="368">
        <f t="shared" si="0"/>
        <v>3926.4301161634853</v>
      </c>
      <c r="I37" s="367">
        <f>130027/1000</f>
        <v>130.02699999999999</v>
      </c>
      <c r="J37" s="367">
        <v>132</v>
      </c>
    </row>
    <row r="38" spans="1:10" ht="15" x14ac:dyDescent="0.2">
      <c r="B38" s="363" t="s">
        <v>1352</v>
      </c>
      <c r="C38" s="364">
        <v>3317</v>
      </c>
      <c r="D38" s="365"/>
      <c r="E38" s="366"/>
      <c r="F38" s="367">
        <v>198</v>
      </c>
      <c r="G38" s="367">
        <f>763494.268619645/1000</f>
        <v>763.49426861964503</v>
      </c>
      <c r="H38" s="368">
        <f t="shared" si="0"/>
        <v>3856.031659695177</v>
      </c>
      <c r="I38" s="367">
        <f>44409/1000</f>
        <v>44.408999999999999</v>
      </c>
      <c r="J38" s="367">
        <v>112</v>
      </c>
    </row>
    <row r="39" spans="1:10" ht="15.75" x14ac:dyDescent="0.25">
      <c r="A39" s="342"/>
      <c r="B39" s="363" t="s">
        <v>1353</v>
      </c>
      <c r="C39" s="364">
        <v>3326</v>
      </c>
      <c r="D39" s="365"/>
      <c r="E39" s="366"/>
      <c r="F39" s="367">
        <v>133</v>
      </c>
      <c r="G39" s="367">
        <f>556283.352688098/1000</f>
        <v>556.28335268809792</v>
      </c>
      <c r="H39" s="368">
        <f t="shared" si="0"/>
        <v>4182.5815991586314</v>
      </c>
      <c r="I39" s="367">
        <f>45458/1000</f>
        <v>45.457999999999998</v>
      </c>
      <c r="J39" s="367">
        <v>55</v>
      </c>
    </row>
    <row r="40" spans="1:10" ht="15" x14ac:dyDescent="0.2">
      <c r="B40" s="363" t="s">
        <v>1354</v>
      </c>
      <c r="C40" s="364">
        <v>3327</v>
      </c>
      <c r="D40" s="365"/>
      <c r="E40" s="366"/>
      <c r="F40" s="367">
        <v>224</v>
      </c>
      <c r="G40" s="367">
        <f>884220.928025114/1000</f>
        <v>884.22092802511395</v>
      </c>
      <c r="H40" s="368">
        <f t="shared" si="0"/>
        <v>3947.414857254973</v>
      </c>
      <c r="I40" s="367">
        <f>107039/1000</f>
        <v>107.039</v>
      </c>
      <c r="J40" s="367">
        <v>112</v>
      </c>
    </row>
    <row r="41" spans="1:10" x14ac:dyDescent="0.2">
      <c r="F41" s="369"/>
      <c r="G41" s="369"/>
      <c r="H41" s="369"/>
      <c r="I41" s="369"/>
      <c r="J41" s="369"/>
    </row>
    <row r="42" spans="1:10" ht="15.75" x14ac:dyDescent="0.25">
      <c r="A42" s="342" t="s">
        <v>1355</v>
      </c>
      <c r="F42" s="370">
        <f>SUM(F11:F40)</f>
        <v>6399</v>
      </c>
      <c r="G42" s="370">
        <f>SUM(G11:G40)</f>
        <v>26573.695847762978</v>
      </c>
      <c r="H42" s="370">
        <f>IF(F42=0,0,G42/F42*1000)</f>
        <v>4152.7888494706949</v>
      </c>
      <c r="I42" s="370">
        <f>SUM(I11:I40)</f>
        <v>3178.7348640000009</v>
      </c>
      <c r="J42" s="370">
        <f>SUM(J11:J40)</f>
        <v>3448</v>
      </c>
    </row>
    <row r="47" spans="1:10" ht="15.75" x14ac:dyDescent="0.25">
      <c r="A47" s="342"/>
      <c r="B47" s="350" t="s">
        <v>1300</v>
      </c>
      <c r="C47" s="351" t="s">
        <v>1301</v>
      </c>
      <c r="D47" s="352" t="s">
        <v>1302</v>
      </c>
      <c r="E47" s="352" t="s">
        <v>1303</v>
      </c>
      <c r="F47" s="353" t="s">
        <v>1304</v>
      </c>
      <c r="G47" s="354" t="s">
        <v>1305</v>
      </c>
      <c r="H47" s="355"/>
      <c r="I47" s="352" t="s">
        <v>1306</v>
      </c>
      <c r="J47" s="352" t="s">
        <v>1307</v>
      </c>
    </row>
    <row r="48" spans="1:10" ht="15.75" x14ac:dyDescent="0.25">
      <c r="A48" s="342"/>
      <c r="B48" s="356"/>
      <c r="C48" s="357" t="s">
        <v>1308</v>
      </c>
      <c r="D48" s="358" t="s">
        <v>1309</v>
      </c>
      <c r="E48" s="353" t="s">
        <v>1309</v>
      </c>
      <c r="F48" s="353" t="s">
        <v>1310</v>
      </c>
      <c r="G48" s="352" t="s">
        <v>1311</v>
      </c>
      <c r="H48" s="352" t="s">
        <v>1311</v>
      </c>
      <c r="I48" s="353" t="s">
        <v>1312</v>
      </c>
      <c r="J48" s="353" t="s">
        <v>1313</v>
      </c>
    </row>
    <row r="49" spans="1:10" ht="15.75" x14ac:dyDescent="0.25">
      <c r="A49" s="342"/>
      <c r="B49" s="356"/>
      <c r="C49" s="357" t="s">
        <v>1314</v>
      </c>
      <c r="D49" s="358" t="s">
        <v>1315</v>
      </c>
      <c r="E49" s="353" t="s">
        <v>1315</v>
      </c>
      <c r="F49" s="353" t="s">
        <v>1316</v>
      </c>
      <c r="G49" s="353" t="s">
        <v>1317</v>
      </c>
      <c r="H49" s="353" t="s">
        <v>1318</v>
      </c>
      <c r="I49" s="353" t="s">
        <v>1319</v>
      </c>
      <c r="J49" s="353" t="s">
        <v>1320</v>
      </c>
    </row>
    <row r="50" spans="1:10" ht="15.75" x14ac:dyDescent="0.25">
      <c r="A50" s="342"/>
      <c r="B50" s="359"/>
      <c r="C50" s="360"/>
      <c r="D50" s="361" t="s">
        <v>1321</v>
      </c>
      <c r="E50" s="361"/>
      <c r="F50" s="361"/>
      <c r="G50" s="361" t="s">
        <v>1322</v>
      </c>
      <c r="H50" s="361" t="s">
        <v>64</v>
      </c>
      <c r="I50" s="361" t="s">
        <v>1322</v>
      </c>
      <c r="J50" s="361" t="s">
        <v>1322</v>
      </c>
    </row>
    <row r="51" spans="1:10" ht="15.75" x14ac:dyDescent="0.2">
      <c r="A51" s="362" t="s">
        <v>1356</v>
      </c>
    </row>
    <row r="52" spans="1:10" ht="15" x14ac:dyDescent="0.2">
      <c r="B52" s="363" t="s">
        <v>1357</v>
      </c>
      <c r="C52" s="364">
        <v>4060</v>
      </c>
      <c r="D52" s="365"/>
      <c r="E52" s="366"/>
      <c r="F52" s="367">
        <v>1674</v>
      </c>
      <c r="G52" s="367">
        <f>8711798.2954298/1000</f>
        <v>8711.7982954298004</v>
      </c>
      <c r="H52" s="368">
        <f>IF(F52="",0,G52/F52*1000)</f>
        <v>5204.1805826940263</v>
      </c>
      <c r="I52" s="367">
        <f>921193.703/1000</f>
        <v>921.19370300000003</v>
      </c>
      <c r="J52" s="367">
        <v>218</v>
      </c>
    </row>
    <row r="53" spans="1:10" ht="15" x14ac:dyDescent="0.2">
      <c r="B53" s="363" t="s">
        <v>1358</v>
      </c>
      <c r="C53" s="364">
        <v>4064</v>
      </c>
      <c r="D53" s="365"/>
      <c r="E53" s="366"/>
      <c r="F53" s="367">
        <v>1073</v>
      </c>
      <c r="G53" s="367">
        <f>5670007.58211051/1000</f>
        <v>5670.0075821105102</v>
      </c>
      <c r="H53" s="368">
        <f>IF(F53="",0,G53/F53*1000)</f>
        <v>5284.2568332809969</v>
      </c>
      <c r="I53" s="367">
        <f>500389/1000</f>
        <v>500.38900000000001</v>
      </c>
      <c r="J53" s="367">
        <f>62603.877650405/1000+139150/1000</f>
        <v>201.753877650405</v>
      </c>
    </row>
    <row r="54" spans="1:10" ht="15" x14ac:dyDescent="0.2">
      <c r="B54" s="363" t="s">
        <v>1359</v>
      </c>
      <c r="C54" s="364">
        <v>4065</v>
      </c>
      <c r="D54" s="365"/>
      <c r="E54" s="366"/>
      <c r="F54" s="367">
        <v>731</v>
      </c>
      <c r="G54" s="367">
        <f>3812441.74000541/1000</f>
        <v>3812.4417400054099</v>
      </c>
      <c r="H54" s="368">
        <f>IF(F54="",0,G54/F54*1000)</f>
        <v>5215.3785772987821</v>
      </c>
      <c r="I54" s="367">
        <f>146219/1000</f>
        <v>146.21899999999999</v>
      </c>
      <c r="J54" s="367">
        <v>146</v>
      </c>
    </row>
    <row r="55" spans="1:10" ht="15" x14ac:dyDescent="0.2">
      <c r="B55" s="363" t="s">
        <v>1360</v>
      </c>
      <c r="C55" s="364">
        <v>4066</v>
      </c>
      <c r="D55" s="365"/>
      <c r="E55" s="366"/>
      <c r="F55" s="367">
        <v>1328</v>
      </c>
      <c r="G55" s="367">
        <f>7160719.08336227/1000</f>
        <v>7160.7190833622699</v>
      </c>
      <c r="H55" s="368">
        <f>IF(F55="",0,G55/F55*1000)</f>
        <v>5392.1077434956851</v>
      </c>
      <c r="I55" s="367">
        <f>819826.235/1000</f>
        <v>819.826235</v>
      </c>
      <c r="J55" s="367">
        <v>254</v>
      </c>
    </row>
    <row r="56" spans="1:10" x14ac:dyDescent="0.2">
      <c r="F56" s="369"/>
      <c r="G56" s="369"/>
      <c r="H56" s="369"/>
      <c r="I56" s="369"/>
      <c r="J56" s="369"/>
    </row>
    <row r="57" spans="1:10" ht="15.75" x14ac:dyDescent="0.25">
      <c r="A57" s="342" t="s">
        <v>1361</v>
      </c>
      <c r="F57" s="370">
        <f>SUM(F52:F55)</f>
        <v>4806</v>
      </c>
      <c r="G57" s="370">
        <f>SUM(G52:G55)</f>
        <v>25354.966700907989</v>
      </c>
      <c r="H57" s="370">
        <f>IF(F57=0,0,G57/F57*1000)</f>
        <v>5275.690116709944</v>
      </c>
      <c r="I57" s="370">
        <f>SUM(I52:I55)</f>
        <v>2387.6279380000001</v>
      </c>
      <c r="J57" s="370">
        <f>SUM(J52:J55)</f>
        <v>819.753877650405</v>
      </c>
    </row>
    <row r="62" spans="1:10" ht="15.75" x14ac:dyDescent="0.25">
      <c r="A62" s="342" t="s">
        <v>1362</v>
      </c>
      <c r="F62" s="370">
        <v>11205</v>
      </c>
      <c r="G62" s="370">
        <v>51928.662548670967</v>
      </c>
      <c r="H62" s="370">
        <v>4634.4187905998187</v>
      </c>
      <c r="I62" s="370">
        <v>5566.3628020000015</v>
      </c>
      <c r="J62" s="370">
        <v>4267.7538776504052</v>
      </c>
    </row>
  </sheetData>
  <dataValidations count="3">
    <dataValidation type="whole" errorStyle="warning" operator="greaterThan" allowBlank="1" showInputMessage="1" showErrorMessage="1" errorTitle="Pupil number" error="Number of pupils should be greater than 0." sqref="F11:G40 I11:J40 F52:G55 I52:J55" xr:uid="{0EA80979-6150-49E7-8B0C-2675AA3F12A2}">
      <formula1>0</formula1>
    </dataValidation>
    <dataValidation type="list" allowBlank="1" showDropDown="1" showInputMessage="1" showErrorMessage="1" errorTitle="Error!" error="If the school will only be open for part of the year, you must enter either 'c' (closing) or 'o' (opening) in this cell." sqref="D11:D40 D52" xr:uid="{52BC3E88-20F3-4B1E-AD0A-1AB92A761513}">
      <formula1>"c,o,C,O"</formula1>
    </dataValidation>
    <dataValidation type="list" allowBlank="1" showDropDown="1" showInputMessage="1" showErrorMessage="1" errorTitle="Error !" error="If the school will only be open for part of the year, you must enter either 'c' (closing) or 'o' (opening) in this cell." sqref="D53:D55" xr:uid="{04148B95-C69E-4FCC-8E51-2A9FA2A24854}">
      <formula1>"c,o,C,O"</formula1>
    </dataValidation>
  </dataValidations>
  <pageMargins left="0.7" right="0.7" top="0.75" bottom="0.75" header="0.3" footer="0.3"/>
  <ignoredErrors>
    <ignoredError sqref="B5:J5" numberStoredAsText="1"/>
    <ignoredError sqref="G11:I41 G42 I42 G52:I56 G58:I58 G57 I57 J11" unlockedFormula="1"/>
    <ignoredError sqref="H42 H57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6CA0-FFB4-477D-BC3A-CA81607137D1}">
  <sheetPr>
    <pageSetUpPr fitToPage="1"/>
  </sheetPr>
  <dimension ref="A1:M258"/>
  <sheetViews>
    <sheetView zoomScale="90" zoomScaleNormal="90" workbookViewId="0">
      <selection activeCell="E11" sqref="E11"/>
    </sheetView>
  </sheetViews>
  <sheetFormatPr defaultColWidth="9.140625" defaultRowHeight="12.75" x14ac:dyDescent="0.2"/>
  <cols>
    <col min="1" max="1" width="19.28515625" style="410" customWidth="1"/>
    <col min="2" max="2" width="14.85546875" style="1" customWidth="1"/>
    <col min="3" max="3" width="14.140625" style="1" customWidth="1"/>
    <col min="4" max="4" width="16.28515625" style="1" customWidth="1"/>
    <col min="5" max="5" width="10.85546875" style="1" customWidth="1"/>
    <col min="6" max="6" width="11.140625" style="1" customWidth="1"/>
    <col min="7" max="7" width="14.28515625" style="1" customWidth="1"/>
    <col min="8" max="8" width="13.140625" style="1" customWidth="1"/>
    <col min="9" max="9" width="14.28515625" style="1" customWidth="1"/>
    <col min="10" max="11" width="14.140625" style="1" customWidth="1"/>
    <col min="12" max="12" width="9.7109375" style="1" bestFit="1" customWidth="1"/>
    <col min="13" max="16384" width="9.140625" style="1"/>
  </cols>
  <sheetData>
    <row r="1" spans="1:12" x14ac:dyDescent="0.2">
      <c r="A1" s="133" t="s">
        <v>1363</v>
      </c>
    </row>
    <row r="3" spans="1:12" x14ac:dyDescent="0.2">
      <c r="A3" s="133" t="s">
        <v>1364</v>
      </c>
    </row>
    <row r="4" spans="1:12" x14ac:dyDescent="0.2">
      <c r="A4" s="133" t="s">
        <v>1365</v>
      </c>
    </row>
    <row r="6" spans="1:12" ht="12.75" customHeight="1" x14ac:dyDescent="0.2">
      <c r="A6" s="371"/>
      <c r="B6" s="372" t="s">
        <v>1366</v>
      </c>
      <c r="C6" s="373"/>
      <c r="D6" s="374"/>
      <c r="F6" s="375" t="s">
        <v>1367</v>
      </c>
      <c r="G6" s="376"/>
      <c r="H6" s="376"/>
      <c r="I6" s="377" t="s">
        <v>1368</v>
      </c>
      <c r="J6" s="373"/>
      <c r="K6" s="378"/>
    </row>
    <row r="7" spans="1:12" x14ac:dyDescent="0.2">
      <c r="A7" s="379" t="s">
        <v>1369</v>
      </c>
      <c r="B7" s="380" t="s">
        <v>1370</v>
      </c>
      <c r="C7" s="380" t="s">
        <v>1371</v>
      </c>
      <c r="D7" s="380" t="s">
        <v>1372</v>
      </c>
      <c r="F7" s="381" t="s">
        <v>1370</v>
      </c>
      <c r="G7" s="380" t="s">
        <v>1371</v>
      </c>
      <c r="H7" s="382" t="s">
        <v>1372</v>
      </c>
      <c r="I7" s="383" t="s">
        <v>1370</v>
      </c>
      <c r="J7" s="380" t="s">
        <v>1371</v>
      </c>
      <c r="K7" s="380" t="s">
        <v>1372</v>
      </c>
      <c r="L7" s="380" t="s">
        <v>56</v>
      </c>
    </row>
    <row r="8" spans="1:12" x14ac:dyDescent="0.2">
      <c r="A8" s="384" t="s">
        <v>1373</v>
      </c>
      <c r="B8" s="385">
        <v>175</v>
      </c>
      <c r="C8" s="385">
        <v>27</v>
      </c>
      <c r="D8" s="385">
        <v>0</v>
      </c>
      <c r="F8" s="386">
        <v>2497.4647785761363</v>
      </c>
      <c r="G8" s="385">
        <v>2547.3160342369952</v>
      </c>
      <c r="H8" s="387">
        <v>2497.4647785761363</v>
      </c>
      <c r="I8" s="388">
        <v>437.05633625082385</v>
      </c>
      <c r="J8" s="385">
        <v>68.777532924398869</v>
      </c>
      <c r="K8" s="385">
        <v>0</v>
      </c>
      <c r="L8" s="385">
        <v>505.83386917522273</v>
      </c>
    </row>
    <row r="9" spans="1:12" x14ac:dyDescent="0.2">
      <c r="A9" s="384" t="s">
        <v>1374</v>
      </c>
      <c r="B9" s="385">
        <v>742</v>
      </c>
      <c r="C9" s="385">
        <v>78</v>
      </c>
      <c r="D9" s="385">
        <v>29</v>
      </c>
      <c r="F9" s="386">
        <v>2496.7795163620654</v>
      </c>
      <c r="G9" s="385">
        <v>2540.1247748737337</v>
      </c>
      <c r="H9" s="387">
        <v>2562.3695163620655</v>
      </c>
      <c r="I9" s="388">
        <v>1852.6104011406526</v>
      </c>
      <c r="J9" s="385">
        <v>198.12973244015123</v>
      </c>
      <c r="K9" s="385">
        <v>74.30871597449989</v>
      </c>
      <c r="L9" s="385">
        <v>2125.0488495553041</v>
      </c>
    </row>
    <row r="10" spans="1:12" x14ac:dyDescent="0.2">
      <c r="A10" s="384" t="s">
        <v>1375</v>
      </c>
      <c r="B10" s="385">
        <v>763</v>
      </c>
      <c r="C10" s="385">
        <v>45</v>
      </c>
      <c r="D10" s="385">
        <v>25</v>
      </c>
      <c r="F10" s="386">
        <v>2496.7795163620654</v>
      </c>
      <c r="G10" s="385">
        <v>2540.1247748737337</v>
      </c>
      <c r="H10" s="387">
        <v>2562.3695163620655</v>
      </c>
      <c r="I10" s="388">
        <v>1905.0427709842559</v>
      </c>
      <c r="J10" s="385">
        <v>114.30561486931802</v>
      </c>
      <c r="K10" s="385">
        <v>64.059237909051646</v>
      </c>
      <c r="L10" s="385">
        <v>2083.4076237626255</v>
      </c>
    </row>
    <row r="11" spans="1:12" x14ac:dyDescent="0.2">
      <c r="A11" s="384" t="s">
        <v>1376</v>
      </c>
      <c r="B11" s="385">
        <v>844</v>
      </c>
      <c r="C11" s="385">
        <v>54</v>
      </c>
      <c r="D11" s="385">
        <v>30</v>
      </c>
      <c r="F11" s="386">
        <v>2496.7795163620654</v>
      </c>
      <c r="G11" s="385">
        <v>2540.1247748737337</v>
      </c>
      <c r="H11" s="387">
        <v>2562.3695163620655</v>
      </c>
      <c r="I11" s="388">
        <v>2107.2819118095831</v>
      </c>
      <c r="J11" s="385">
        <v>137.16673784318161</v>
      </c>
      <c r="K11" s="385">
        <v>76.871085490861972</v>
      </c>
      <c r="L11" s="385">
        <v>2321.3197351436265</v>
      </c>
    </row>
    <row r="12" spans="1:12" x14ac:dyDescent="0.2">
      <c r="A12" s="384" t="s">
        <v>1377</v>
      </c>
      <c r="B12" s="385">
        <v>778</v>
      </c>
      <c r="C12" s="385">
        <v>31</v>
      </c>
      <c r="D12" s="385">
        <v>31</v>
      </c>
      <c r="F12" s="386">
        <v>2464.5921617231488</v>
      </c>
      <c r="G12" s="385">
        <v>2507.9374202348172</v>
      </c>
      <c r="H12" s="387">
        <v>2530.182161723149</v>
      </c>
      <c r="I12" s="388">
        <v>1917.4527018206099</v>
      </c>
      <c r="J12" s="385">
        <v>77.746060027279341</v>
      </c>
      <c r="K12" s="385">
        <v>78.435647013417622</v>
      </c>
      <c r="L12" s="385">
        <v>2073.6344088613068</v>
      </c>
    </row>
    <row r="13" spans="1:12" x14ac:dyDescent="0.2">
      <c r="A13" s="384" t="s">
        <v>1378</v>
      </c>
      <c r="B13" s="385">
        <v>830</v>
      </c>
      <c r="C13" s="385">
        <v>45</v>
      </c>
      <c r="D13" s="385">
        <v>31</v>
      </c>
      <c r="F13" s="386">
        <v>2464.5921617231488</v>
      </c>
      <c r="G13" s="385">
        <v>2507.9374202348172</v>
      </c>
      <c r="H13" s="387">
        <v>2530.182161723149</v>
      </c>
      <c r="I13" s="388">
        <v>2045.6114942302136</v>
      </c>
      <c r="J13" s="385">
        <v>112.85718391056677</v>
      </c>
      <c r="K13" s="385">
        <v>78.435647013417622</v>
      </c>
      <c r="L13" s="385">
        <v>2236.904325154198</v>
      </c>
    </row>
    <row r="14" spans="1:12" x14ac:dyDescent="0.2">
      <c r="A14" s="384" t="s">
        <v>1379</v>
      </c>
      <c r="B14" s="385">
        <v>850</v>
      </c>
      <c r="C14" s="385">
        <v>46</v>
      </c>
      <c r="D14" s="385">
        <v>27</v>
      </c>
      <c r="F14" s="386">
        <v>2464.5921617231488</v>
      </c>
      <c r="G14" s="385">
        <v>2507.9374202348172</v>
      </c>
      <c r="H14" s="387">
        <v>2530.182161723149</v>
      </c>
      <c r="I14" s="388">
        <v>2094.9033374646765</v>
      </c>
      <c r="J14" s="385">
        <v>115.36512133080159</v>
      </c>
      <c r="K14" s="385">
        <v>68.314918366525021</v>
      </c>
      <c r="L14" s="385">
        <v>2278.5833771620032</v>
      </c>
    </row>
    <row r="15" spans="1:12" x14ac:dyDescent="0.2">
      <c r="A15" s="384" t="s">
        <v>1380</v>
      </c>
      <c r="B15" s="385">
        <v>851</v>
      </c>
      <c r="C15" s="385">
        <v>42</v>
      </c>
      <c r="D15" s="385">
        <v>25</v>
      </c>
      <c r="F15" s="386">
        <v>2464.5921617231488</v>
      </c>
      <c r="G15" s="385">
        <v>2507.9374202348172</v>
      </c>
      <c r="H15" s="387">
        <v>2530.182161723149</v>
      </c>
      <c r="I15" s="388">
        <v>2097.3679296263995</v>
      </c>
      <c r="J15" s="385">
        <v>105.33337164986233</v>
      </c>
      <c r="K15" s="385">
        <v>63.25455404307872</v>
      </c>
      <c r="L15" s="385">
        <v>2265.9558553193406</v>
      </c>
    </row>
    <row r="16" spans="1:12" x14ac:dyDescent="0.2">
      <c r="A16" s="384" t="s">
        <v>1381</v>
      </c>
      <c r="B16" s="385">
        <v>813</v>
      </c>
      <c r="C16" s="389"/>
      <c r="D16" s="390"/>
      <c r="F16" s="386">
        <v>3516.6354325009966</v>
      </c>
      <c r="G16" s="385"/>
      <c r="H16" s="391"/>
      <c r="I16" s="388">
        <v>2859.0246066233103</v>
      </c>
      <c r="J16" s="385"/>
      <c r="K16" s="385"/>
      <c r="L16" s="385">
        <v>2859.0246066233103</v>
      </c>
    </row>
    <row r="17" spans="1:13" x14ac:dyDescent="0.2">
      <c r="A17" s="384" t="s">
        <v>1382</v>
      </c>
      <c r="B17" s="385">
        <v>840</v>
      </c>
      <c r="C17" s="389"/>
      <c r="D17" s="390"/>
      <c r="F17" s="386">
        <v>3554.4609973218712</v>
      </c>
      <c r="G17" s="385"/>
      <c r="H17" s="391"/>
      <c r="I17" s="388">
        <v>2985.7472377503718</v>
      </c>
      <c r="J17" s="385"/>
      <c r="K17" s="385"/>
      <c r="L17" s="385">
        <v>2985.7472377503718</v>
      </c>
    </row>
    <row r="18" spans="1:13" x14ac:dyDescent="0.2">
      <c r="A18" s="384" t="s">
        <v>1383</v>
      </c>
      <c r="B18" s="385">
        <v>837</v>
      </c>
      <c r="C18" s="389"/>
      <c r="D18" s="390"/>
      <c r="F18" s="386">
        <v>3569.591223250221</v>
      </c>
      <c r="G18" s="385"/>
      <c r="H18" s="391"/>
      <c r="I18" s="388">
        <v>2987.747853860435</v>
      </c>
      <c r="J18" s="385"/>
      <c r="K18" s="385"/>
      <c r="L18" s="385">
        <v>2987.747853860435</v>
      </c>
    </row>
    <row r="19" spans="1:13" x14ac:dyDescent="0.2">
      <c r="A19" s="384" t="s">
        <v>1384</v>
      </c>
      <c r="B19" s="385">
        <v>760</v>
      </c>
      <c r="C19" s="389"/>
      <c r="D19" s="390"/>
      <c r="F19" s="386">
        <v>3930.5048933850489</v>
      </c>
      <c r="G19" s="385"/>
      <c r="H19" s="391"/>
      <c r="I19" s="388">
        <v>2987.1837189726375</v>
      </c>
      <c r="J19" s="385"/>
      <c r="K19" s="385"/>
      <c r="L19" s="385">
        <v>2987.1837189726375</v>
      </c>
    </row>
    <row r="20" spans="1:13" x14ac:dyDescent="0.2">
      <c r="A20" s="392" t="s">
        <v>1385</v>
      </c>
      <c r="B20" s="385">
        <v>791</v>
      </c>
      <c r="C20" s="393"/>
      <c r="D20" s="394"/>
      <c r="F20" s="386">
        <v>4298.4129394210549</v>
      </c>
      <c r="G20" s="385"/>
      <c r="H20" s="395"/>
      <c r="I20" s="396">
        <v>3400.0446350820544</v>
      </c>
      <c r="J20" s="385"/>
      <c r="K20" s="397"/>
      <c r="L20" s="385">
        <v>3400.0446350820544</v>
      </c>
    </row>
    <row r="21" spans="1:13" x14ac:dyDescent="0.2">
      <c r="A21" s="398" t="s">
        <v>1386</v>
      </c>
      <c r="B21" s="399">
        <v>175</v>
      </c>
      <c r="C21" s="399">
        <v>27</v>
      </c>
      <c r="D21" s="399">
        <v>0</v>
      </c>
      <c r="F21" s="400">
        <v>2497.4647785761363</v>
      </c>
      <c r="G21" s="399">
        <v>2547.3160342369952</v>
      </c>
      <c r="H21" s="401">
        <v>2497.4647785761363</v>
      </c>
      <c r="I21" s="402">
        <v>437.05633625082385</v>
      </c>
      <c r="J21" s="399">
        <v>68.777532924398869</v>
      </c>
      <c r="K21" s="399">
        <v>0</v>
      </c>
      <c r="L21" s="399">
        <v>505.83386917522273</v>
      </c>
      <c r="M21" s="403">
        <v>9.7376270552762649E-3</v>
      </c>
    </row>
    <row r="22" spans="1:13" x14ac:dyDescent="0.2">
      <c r="A22" s="398" t="s">
        <v>1387</v>
      </c>
      <c r="B22" s="399">
        <v>5658</v>
      </c>
      <c r="C22" s="399">
        <v>341</v>
      </c>
      <c r="D22" s="399">
        <v>198</v>
      </c>
      <c r="F22" s="400">
        <v>17348.707195978794</v>
      </c>
      <c r="G22" s="399">
        <v>17652.124005560472</v>
      </c>
      <c r="H22" s="401">
        <v>17807.837195978791</v>
      </c>
      <c r="I22" s="402">
        <v>14020.270547076392</v>
      </c>
      <c r="J22" s="399">
        <v>860.90382207116079</v>
      </c>
      <c r="K22" s="399">
        <v>503.67980581085249</v>
      </c>
      <c r="L22" s="399">
        <v>15384.854174958404</v>
      </c>
      <c r="M22" s="403">
        <v>0.29616832992980058</v>
      </c>
    </row>
    <row r="23" spans="1:13" x14ac:dyDescent="0.2">
      <c r="A23" s="398" t="s">
        <v>1388</v>
      </c>
      <c r="B23" s="399">
        <v>4041</v>
      </c>
      <c r="C23" s="399">
        <v>0</v>
      </c>
      <c r="D23" s="399">
        <v>0</v>
      </c>
      <c r="F23" s="400">
        <v>18869.605485879194</v>
      </c>
      <c r="G23" s="399">
        <v>0</v>
      </c>
      <c r="H23" s="401">
        <v>0</v>
      </c>
      <c r="I23" s="402">
        <v>15219.748052288809</v>
      </c>
      <c r="J23" s="399">
        <v>0</v>
      </c>
      <c r="K23" s="399">
        <v>0</v>
      </c>
      <c r="L23" s="399">
        <v>15219.748052288809</v>
      </c>
      <c r="M23" s="403">
        <v>0.29298993096311876</v>
      </c>
    </row>
    <row r="24" spans="1:13" s="2" customFormat="1" x14ac:dyDescent="0.2">
      <c r="A24" s="404" t="s">
        <v>56</v>
      </c>
      <c r="B24" s="405">
        <v>9874</v>
      </c>
      <c r="C24" s="405">
        <v>368</v>
      </c>
      <c r="D24" s="405">
        <v>198</v>
      </c>
      <c r="E24" s="1"/>
      <c r="F24" s="406">
        <v>38715.777460434125</v>
      </c>
      <c r="G24" s="405">
        <v>20199.440039797468</v>
      </c>
      <c r="H24" s="407">
        <v>20305.301974554928</v>
      </c>
      <c r="I24" s="408">
        <v>29677.074935616023</v>
      </c>
      <c r="J24" s="405">
        <v>929.68135499555967</v>
      </c>
      <c r="K24" s="405">
        <v>503.67980581085249</v>
      </c>
      <c r="L24" s="405">
        <v>31110.436096422436</v>
      </c>
      <c r="M24" s="409">
        <v>0.59889588794819559</v>
      </c>
    </row>
    <row r="26" spans="1:13" x14ac:dyDescent="0.2">
      <c r="I26" s="2" t="s">
        <v>1389</v>
      </c>
      <c r="L26" s="405">
        <v>3805.38</v>
      </c>
      <c r="M26" s="403">
        <v>7.3256010523824924E-2</v>
      </c>
    </row>
    <row r="28" spans="1:13" x14ac:dyDescent="0.2">
      <c r="A28" s="133" t="s">
        <v>1390</v>
      </c>
    </row>
    <row r="29" spans="1:13" x14ac:dyDescent="0.2">
      <c r="A29" s="133" t="s">
        <v>1391</v>
      </c>
    </row>
    <row r="30" spans="1:13" x14ac:dyDescent="0.2">
      <c r="A30" s="133" t="s">
        <v>1392</v>
      </c>
      <c r="E30" s="133" t="s">
        <v>1393</v>
      </c>
      <c r="I30" s="84" t="s">
        <v>1394</v>
      </c>
      <c r="J30" s="411"/>
      <c r="K30" s="411"/>
      <c r="L30" s="411"/>
    </row>
    <row r="31" spans="1:13" x14ac:dyDescent="0.2">
      <c r="A31" s="133" t="s">
        <v>1395</v>
      </c>
      <c r="E31" s="133" t="s">
        <v>1396</v>
      </c>
      <c r="I31" s="84" t="s">
        <v>1397</v>
      </c>
      <c r="J31" s="411"/>
      <c r="K31" s="411"/>
      <c r="L31" s="411"/>
    </row>
    <row r="32" spans="1:13" x14ac:dyDescent="0.2">
      <c r="A32" s="133" t="s">
        <v>1398</v>
      </c>
      <c r="E32" s="133" t="s">
        <v>1399</v>
      </c>
    </row>
    <row r="33" spans="1:9" x14ac:dyDescent="0.2">
      <c r="A33" s="133" t="s">
        <v>1400</v>
      </c>
      <c r="E33" s="133" t="s">
        <v>1401</v>
      </c>
      <c r="I33" s="84"/>
    </row>
    <row r="34" spans="1:9" x14ac:dyDescent="0.2">
      <c r="A34" s="133" t="s">
        <v>1402</v>
      </c>
      <c r="E34" s="133" t="s">
        <v>1403</v>
      </c>
      <c r="I34" s="84"/>
    </row>
    <row r="35" spans="1:9" x14ac:dyDescent="0.2">
      <c r="A35" s="133" t="s">
        <v>1404</v>
      </c>
      <c r="E35" s="133" t="s">
        <v>1405</v>
      </c>
    </row>
    <row r="36" spans="1:9" x14ac:dyDescent="0.2">
      <c r="A36" s="133" t="s">
        <v>1406</v>
      </c>
      <c r="E36" s="133" t="s">
        <v>1407</v>
      </c>
    </row>
    <row r="37" spans="1:9" x14ac:dyDescent="0.2">
      <c r="A37" s="133" t="s">
        <v>1408</v>
      </c>
      <c r="E37" s="133" t="s">
        <v>1409</v>
      </c>
    </row>
    <row r="38" spans="1:9" x14ac:dyDescent="0.2">
      <c r="A38" s="133" t="s">
        <v>1410</v>
      </c>
      <c r="E38" s="133" t="s">
        <v>1411</v>
      </c>
    </row>
    <row r="39" spans="1:9" x14ac:dyDescent="0.2">
      <c r="A39" s="133"/>
      <c r="E39" s="84" t="s">
        <v>1412</v>
      </c>
    </row>
    <row r="41" spans="1:9" x14ac:dyDescent="0.2">
      <c r="A41" s="133" t="s">
        <v>1413</v>
      </c>
    </row>
    <row r="43" spans="1:9" x14ac:dyDescent="0.2">
      <c r="A43" s="371"/>
      <c r="B43" s="412" t="s">
        <v>1366</v>
      </c>
      <c r="C43" s="412" t="s">
        <v>1414</v>
      </c>
      <c r="D43" s="412" t="s">
        <v>1368</v>
      </c>
      <c r="E43" s="413" t="s">
        <v>1415</v>
      </c>
    </row>
    <row r="44" spans="1:9" x14ac:dyDescent="0.2">
      <c r="A44" s="379"/>
      <c r="B44" s="414"/>
      <c r="C44" s="414"/>
      <c r="D44" s="414"/>
      <c r="E44" s="415"/>
    </row>
    <row r="45" spans="1:9" x14ac:dyDescent="0.2">
      <c r="A45" s="398" t="s">
        <v>1386</v>
      </c>
      <c r="B45" s="416">
        <v>111.00000000000001</v>
      </c>
      <c r="C45" s="416">
        <v>1497.5149615384614</v>
      </c>
      <c r="D45" s="416">
        <v>166.22416073076926</v>
      </c>
      <c r="E45" s="403">
        <v>3.1999219178655476E-3</v>
      </c>
    </row>
    <row r="46" spans="1:9" x14ac:dyDescent="0.2">
      <c r="A46" s="398" t="s">
        <v>1387</v>
      </c>
      <c r="B46" s="416">
        <v>698.9980098567911</v>
      </c>
      <c r="C46" s="416">
        <v>1297.8462999999999</v>
      </c>
      <c r="D46" s="416">
        <v>907.19198079999978</v>
      </c>
      <c r="E46" s="403">
        <v>1.7464028636460578E-2</v>
      </c>
    </row>
    <row r="47" spans="1:9" x14ac:dyDescent="0.2">
      <c r="A47" s="398" t="s">
        <v>1388</v>
      </c>
      <c r="B47" s="416">
        <v>0</v>
      </c>
      <c r="C47" s="416">
        <v>0</v>
      </c>
      <c r="D47" s="416">
        <v>0</v>
      </c>
      <c r="E47" s="403">
        <v>0</v>
      </c>
    </row>
    <row r="48" spans="1:9" x14ac:dyDescent="0.2">
      <c r="A48" s="404" t="s">
        <v>56</v>
      </c>
      <c r="B48" s="405">
        <v>809.9980098567911</v>
      </c>
      <c r="C48" s="405">
        <v>2795.3612615384613</v>
      </c>
      <c r="D48" s="405">
        <v>1073.416141530769</v>
      </c>
      <c r="E48" s="409">
        <v>2.0663950554326127E-2</v>
      </c>
      <c r="F48"/>
    </row>
    <row r="50" spans="1:5" x14ac:dyDescent="0.2">
      <c r="A50" s="133" t="s">
        <v>1416</v>
      </c>
    </row>
    <row r="51" spans="1:5" x14ac:dyDescent="0.2">
      <c r="A51" s="133" t="s">
        <v>1417</v>
      </c>
    </row>
    <row r="52" spans="1:5" x14ac:dyDescent="0.2">
      <c r="A52" s="133" t="s">
        <v>1418</v>
      </c>
    </row>
    <row r="53" spans="1:5" x14ac:dyDescent="0.2">
      <c r="A53" s="133"/>
    </row>
    <row r="54" spans="1:5" ht="12.75" customHeight="1" x14ac:dyDescent="0.2">
      <c r="A54" s="371"/>
      <c r="B54" s="412" t="s">
        <v>1368</v>
      </c>
      <c r="C54" s="413" t="s">
        <v>1415</v>
      </c>
    </row>
    <row r="55" spans="1:5" x14ac:dyDescent="0.2">
      <c r="A55" s="379"/>
      <c r="B55" s="414"/>
      <c r="C55" s="415"/>
    </row>
    <row r="56" spans="1:5" x14ac:dyDescent="0.2">
      <c r="A56" s="398" t="s">
        <v>1386</v>
      </c>
      <c r="B56" s="416">
        <v>0</v>
      </c>
      <c r="C56" s="403">
        <v>0</v>
      </c>
    </row>
    <row r="57" spans="1:5" x14ac:dyDescent="0.2">
      <c r="A57" s="398" t="s">
        <v>1387</v>
      </c>
      <c r="B57" s="416">
        <v>6.3391304347826107</v>
      </c>
      <c r="C57" s="403">
        <v>1.2203233470568873E-4</v>
      </c>
    </row>
    <row r="58" spans="1:5" x14ac:dyDescent="0.2">
      <c r="A58" s="398" t="s">
        <v>1388</v>
      </c>
      <c r="B58" s="416">
        <v>3.660869565217391</v>
      </c>
      <c r="C58" s="403">
        <v>0</v>
      </c>
    </row>
    <row r="59" spans="1:5" x14ac:dyDescent="0.2">
      <c r="A59" s="404" t="s">
        <v>56</v>
      </c>
      <c r="B59" s="405">
        <v>10.000000000000002</v>
      </c>
      <c r="C59" s="409">
        <v>1.2203233470568873E-4</v>
      </c>
    </row>
    <row r="61" spans="1:5" x14ac:dyDescent="0.2">
      <c r="A61" s="133"/>
    </row>
    <row r="62" spans="1:5" x14ac:dyDescent="0.2">
      <c r="A62" s="410" t="s">
        <v>1419</v>
      </c>
    </row>
    <row r="63" spans="1:5" x14ac:dyDescent="0.2">
      <c r="A63" s="133"/>
    </row>
    <row r="64" spans="1:5" ht="12.75" customHeight="1" x14ac:dyDescent="0.2">
      <c r="A64" s="371"/>
      <c r="B64" s="413" t="s">
        <v>1420</v>
      </c>
      <c r="C64" s="413" t="s">
        <v>1421</v>
      </c>
      <c r="D64" s="413" t="s">
        <v>1368</v>
      </c>
      <c r="E64" s="413" t="s">
        <v>1415</v>
      </c>
    </row>
    <row r="65" spans="1:6" ht="29.25" customHeight="1" x14ac:dyDescent="0.2">
      <c r="A65" s="379"/>
      <c r="B65" s="417"/>
      <c r="C65" s="417"/>
      <c r="D65" s="417"/>
      <c r="E65" s="417"/>
    </row>
    <row r="66" spans="1:6" x14ac:dyDescent="0.2">
      <c r="A66" s="398" t="s">
        <v>1386</v>
      </c>
      <c r="B66" s="416">
        <v>0</v>
      </c>
      <c r="C66" s="416">
        <v>0</v>
      </c>
      <c r="D66" s="416">
        <v>0</v>
      </c>
      <c r="E66" s="403">
        <v>0</v>
      </c>
    </row>
    <row r="67" spans="1:6" x14ac:dyDescent="0.2">
      <c r="A67" s="398" t="s">
        <v>1387</v>
      </c>
      <c r="B67" s="416">
        <v>29.074999999999999</v>
      </c>
      <c r="C67" s="416">
        <v>2410.3290000000002</v>
      </c>
      <c r="D67" s="416">
        <v>2439.404</v>
      </c>
      <c r="E67" s="403">
        <v>4.6960094680652292E-2</v>
      </c>
    </row>
    <row r="68" spans="1:6" x14ac:dyDescent="0.2">
      <c r="A68" s="398" t="s">
        <v>1388</v>
      </c>
      <c r="B68" s="416">
        <v>91.48</v>
      </c>
      <c r="C68" s="416">
        <v>1217.096</v>
      </c>
      <c r="D68" s="416">
        <v>1308.576</v>
      </c>
      <c r="E68" s="403">
        <v>2.5190928955117421E-2</v>
      </c>
    </row>
    <row r="69" spans="1:6" x14ac:dyDescent="0.2">
      <c r="A69" s="404" t="s">
        <v>56</v>
      </c>
      <c r="B69" s="405">
        <v>120.55500000000001</v>
      </c>
      <c r="C69" s="405">
        <v>3627.4250000000002</v>
      </c>
      <c r="D69" s="405">
        <v>3747.98</v>
      </c>
      <c r="E69" s="409">
        <v>7.2151023635769709E-2</v>
      </c>
    </row>
    <row r="71" spans="1:6" x14ac:dyDescent="0.2">
      <c r="A71" s="133" t="s">
        <v>1422</v>
      </c>
    </row>
    <row r="72" spans="1:6" x14ac:dyDescent="0.2">
      <c r="A72" s="133" t="s">
        <v>1423</v>
      </c>
    </row>
    <row r="74" spans="1:6" ht="12.75" customHeight="1" x14ac:dyDescent="0.2">
      <c r="A74" s="371"/>
      <c r="C74" s="412" t="s">
        <v>1424</v>
      </c>
      <c r="D74" s="412" t="s">
        <v>1425</v>
      </c>
      <c r="E74" s="412" t="s">
        <v>1368</v>
      </c>
      <c r="F74" s="413" t="s">
        <v>1415</v>
      </c>
    </row>
    <row r="75" spans="1:6" ht="24" customHeight="1" x14ac:dyDescent="0.2">
      <c r="A75" s="379" t="s">
        <v>1426</v>
      </c>
      <c r="C75" s="414"/>
      <c r="D75" s="414"/>
      <c r="E75" s="414"/>
      <c r="F75" s="415"/>
    </row>
    <row r="76" spans="1:6" x14ac:dyDescent="0.2">
      <c r="A76" s="418" t="s">
        <v>1427</v>
      </c>
      <c r="B76" s="419"/>
      <c r="C76" s="416">
        <v>126</v>
      </c>
      <c r="D76" s="416">
        <v>8563.9042698412686</v>
      </c>
      <c r="E76" s="416">
        <v>1079.0519379999998</v>
      </c>
      <c r="F76" s="403">
        <v>2.0772443258198041E-2</v>
      </c>
    </row>
    <row r="77" spans="1:6" x14ac:dyDescent="0.2">
      <c r="A77" s="418" t="s">
        <v>1428</v>
      </c>
      <c r="B77" s="419"/>
      <c r="C77" s="416">
        <v>20</v>
      </c>
      <c r="D77" s="416">
        <v>16630.547999999999</v>
      </c>
      <c r="E77" s="416">
        <v>332.61095999999998</v>
      </c>
      <c r="F77" s="403">
        <v>6.4029747321159803E-3</v>
      </c>
    </row>
    <row r="78" spans="1:6" x14ac:dyDescent="0.2">
      <c r="A78" s="418" t="s">
        <v>1429</v>
      </c>
      <c r="B78" s="419"/>
      <c r="C78" s="416">
        <v>0</v>
      </c>
      <c r="D78" s="416">
        <v>0</v>
      </c>
      <c r="E78" s="416">
        <v>0</v>
      </c>
      <c r="F78" s="403">
        <v>0</v>
      </c>
    </row>
    <row r="79" spans="1:6" x14ac:dyDescent="0.2">
      <c r="A79" s="418" t="s">
        <v>1430</v>
      </c>
      <c r="B79" s="419"/>
      <c r="C79" s="416">
        <v>23</v>
      </c>
      <c r="D79" s="416">
        <v>17683.474086956521</v>
      </c>
      <c r="E79" s="416">
        <v>406.71990400000004</v>
      </c>
      <c r="F79" s="403">
        <v>7.8296195301581096E-3</v>
      </c>
    </row>
    <row r="80" spans="1:6" x14ac:dyDescent="0.2">
      <c r="A80" s="420" t="s">
        <v>1387</v>
      </c>
      <c r="B80" s="421"/>
      <c r="C80" s="405">
        <v>43</v>
      </c>
      <c r="D80" s="405">
        <v>34314.022086956524</v>
      </c>
      <c r="E80" s="405">
        <v>739.33086400000002</v>
      </c>
      <c r="F80" s="409">
        <v>1.4232594262274089E-2</v>
      </c>
    </row>
    <row r="81" spans="1:7" x14ac:dyDescent="0.2">
      <c r="A81" s="420" t="s">
        <v>1388</v>
      </c>
      <c r="B81" s="421"/>
      <c r="C81" s="405">
        <v>126</v>
      </c>
      <c r="D81" s="405">
        <v>8563.9042698412686</v>
      </c>
      <c r="E81" s="405">
        <v>1079.0519379999998</v>
      </c>
      <c r="F81" s="409">
        <v>2.0772443258198041E-2</v>
      </c>
    </row>
    <row r="82" spans="1:7" s="2" customFormat="1" x14ac:dyDescent="0.2">
      <c r="A82" s="422" t="s">
        <v>1431</v>
      </c>
      <c r="B82" s="423"/>
      <c r="C82" s="405">
        <v>169</v>
      </c>
      <c r="D82" s="405">
        <v>42877.926356797791</v>
      </c>
      <c r="E82" s="405">
        <v>1818.3828019999999</v>
      </c>
      <c r="F82" s="409">
        <v>3.5005037520472126E-2</v>
      </c>
    </row>
    <row r="84" spans="1:7" x14ac:dyDescent="0.2">
      <c r="A84" s="133" t="s">
        <v>1432</v>
      </c>
    </row>
    <row r="85" spans="1:7" x14ac:dyDescent="0.2">
      <c r="A85" s="133" t="s">
        <v>1433</v>
      </c>
    </row>
    <row r="86" spans="1:7" x14ac:dyDescent="0.2">
      <c r="A86" s="133" t="s">
        <v>1434</v>
      </c>
    </row>
    <row r="88" spans="1:7" x14ac:dyDescent="0.2">
      <c r="A88" s="371" t="s">
        <v>1435</v>
      </c>
    </row>
    <row r="89" spans="1:7" x14ac:dyDescent="0.2">
      <c r="A89" s="371"/>
    </row>
    <row r="90" spans="1:7" x14ac:dyDescent="0.2">
      <c r="A90" s="371" t="s">
        <v>1436</v>
      </c>
    </row>
    <row r="92" spans="1:7" x14ac:dyDescent="0.2">
      <c r="A92" s="371"/>
      <c r="B92" s="412" t="s">
        <v>1437</v>
      </c>
      <c r="C92" s="412" t="s">
        <v>1438</v>
      </c>
      <c r="D92" s="412" t="s">
        <v>1439</v>
      </c>
      <c r="E92" s="412" t="s">
        <v>1440</v>
      </c>
      <c r="F92" s="412" t="s">
        <v>1431</v>
      </c>
      <c r="G92" s="413" t="s">
        <v>1415</v>
      </c>
    </row>
    <row r="93" spans="1:7" ht="26.25" customHeight="1" x14ac:dyDescent="0.2">
      <c r="A93" s="379"/>
      <c r="B93" s="414"/>
      <c r="C93" s="414"/>
      <c r="D93" s="414"/>
      <c r="E93" s="414"/>
      <c r="F93" s="414"/>
      <c r="G93" s="415"/>
    </row>
    <row r="94" spans="1:7" x14ac:dyDescent="0.2">
      <c r="A94" s="398" t="s">
        <v>1386</v>
      </c>
      <c r="B94" s="416">
        <v>0</v>
      </c>
      <c r="C94" s="416">
        <v>0</v>
      </c>
      <c r="D94" s="416">
        <v>0</v>
      </c>
      <c r="E94" s="416">
        <v>0</v>
      </c>
      <c r="F94" s="416">
        <v>0</v>
      </c>
      <c r="G94" s="403">
        <v>0</v>
      </c>
    </row>
    <row r="95" spans="1:7" x14ac:dyDescent="0.2">
      <c r="A95" s="398" t="s">
        <v>1387</v>
      </c>
      <c r="B95" s="416">
        <v>2832.243897599998</v>
      </c>
      <c r="C95" s="416">
        <v>0</v>
      </c>
      <c r="D95" s="416">
        <v>0</v>
      </c>
      <c r="E95" s="416">
        <v>3.8879799999999998</v>
      </c>
      <c r="F95" s="416">
        <v>2836.131877599998</v>
      </c>
      <c r="G95" s="403">
        <v>5.4597361281244129E-2</v>
      </c>
    </row>
    <row r="96" spans="1:7" x14ac:dyDescent="0.2">
      <c r="A96" s="398" t="s">
        <v>1388</v>
      </c>
      <c r="B96" s="416">
        <v>1177.8048479999998</v>
      </c>
      <c r="C96" s="416">
        <v>0</v>
      </c>
      <c r="D96" s="416">
        <v>0</v>
      </c>
      <c r="E96" s="416">
        <v>135.48248999999998</v>
      </c>
      <c r="F96" s="416">
        <v>1313.2873379999996</v>
      </c>
      <c r="G96" s="403">
        <v>2.5281625239354281E-2</v>
      </c>
    </row>
    <row r="97" spans="1:7" x14ac:dyDescent="0.2">
      <c r="A97" s="404" t="s">
        <v>56</v>
      </c>
      <c r="B97" s="405">
        <v>4010.0487455999978</v>
      </c>
      <c r="C97" s="405">
        <v>0</v>
      </c>
      <c r="D97" s="405">
        <v>0</v>
      </c>
      <c r="E97" s="405">
        <v>139.37046999999998</v>
      </c>
      <c r="F97" s="405">
        <v>4149.4192155999972</v>
      </c>
      <c r="G97" s="409">
        <v>7.9878986520598411E-2</v>
      </c>
    </row>
    <row r="99" spans="1:7" x14ac:dyDescent="0.2">
      <c r="A99" s="133" t="s">
        <v>1441</v>
      </c>
    </row>
    <row r="101" spans="1:7" x14ac:dyDescent="0.2">
      <c r="A101" s="133" t="s">
        <v>1442</v>
      </c>
    </row>
    <row r="102" spans="1:7" x14ac:dyDescent="0.2">
      <c r="A102" s="84" t="s">
        <v>1443</v>
      </c>
    </row>
    <row r="103" spans="1:7" x14ac:dyDescent="0.2">
      <c r="A103" s="84" t="s">
        <v>1444</v>
      </c>
    </row>
    <row r="104" spans="1:7" x14ac:dyDescent="0.2">
      <c r="A104" s="84" t="s">
        <v>1445</v>
      </c>
    </row>
    <row r="105" spans="1:7" x14ac:dyDescent="0.2">
      <c r="A105" s="84" t="s">
        <v>1446</v>
      </c>
    </row>
    <row r="106" spans="1:7" x14ac:dyDescent="0.2">
      <c r="A106" s="84" t="s">
        <v>1447</v>
      </c>
    </row>
    <row r="107" spans="1:7" x14ac:dyDescent="0.2">
      <c r="A107" s="1"/>
    </row>
    <row r="108" spans="1:7" x14ac:dyDescent="0.2">
      <c r="A108" s="84" t="s">
        <v>1448</v>
      </c>
    </row>
    <row r="109" spans="1:7" x14ac:dyDescent="0.2">
      <c r="A109" s="84" t="s">
        <v>1449</v>
      </c>
    </row>
    <row r="111" spans="1:7" x14ac:dyDescent="0.2">
      <c r="A111" s="133" t="s">
        <v>1450</v>
      </c>
    </row>
    <row r="113" spans="1:9" x14ac:dyDescent="0.2">
      <c r="A113" s="371" t="s">
        <v>1451</v>
      </c>
    </row>
    <row r="115" spans="1:9" x14ac:dyDescent="0.2">
      <c r="A115" s="371"/>
      <c r="B115" s="412" t="s">
        <v>1452</v>
      </c>
      <c r="C115" s="412" t="s">
        <v>1453</v>
      </c>
      <c r="D115" s="412" t="s">
        <v>1454</v>
      </c>
      <c r="E115" s="412" t="s">
        <v>1455</v>
      </c>
      <c r="F115" s="412" t="s">
        <v>1456</v>
      </c>
      <c r="G115" s="412" t="s">
        <v>1457</v>
      </c>
      <c r="H115" s="412" t="s">
        <v>1431</v>
      </c>
      <c r="I115" s="413" t="s">
        <v>1415</v>
      </c>
    </row>
    <row r="116" spans="1:9" ht="24" customHeight="1" x14ac:dyDescent="0.2">
      <c r="A116" s="379"/>
      <c r="B116" s="414"/>
      <c r="C116" s="414"/>
      <c r="D116" s="414"/>
      <c r="E116" s="414"/>
      <c r="F116" s="414"/>
      <c r="G116" s="414"/>
      <c r="H116" s="414"/>
      <c r="I116" s="415"/>
    </row>
    <row r="117" spans="1:9" x14ac:dyDescent="0.2">
      <c r="A117" s="398" t="s">
        <v>1386</v>
      </c>
      <c r="B117" s="416">
        <v>0</v>
      </c>
      <c r="C117" s="416">
        <v>0</v>
      </c>
      <c r="D117" s="416">
        <v>0</v>
      </c>
      <c r="E117" s="416">
        <v>0</v>
      </c>
      <c r="F117" s="416">
        <v>0</v>
      </c>
      <c r="G117" s="416">
        <v>0</v>
      </c>
      <c r="H117" s="416">
        <v>0</v>
      </c>
      <c r="I117" s="403">
        <v>0</v>
      </c>
    </row>
    <row r="118" spans="1:9" x14ac:dyDescent="0.2">
      <c r="A118" s="398" t="s">
        <v>1387</v>
      </c>
      <c r="B118" s="416">
        <v>746.43708832000016</v>
      </c>
      <c r="C118" s="416">
        <v>416.55106507974199</v>
      </c>
      <c r="D118" s="416">
        <v>493.72474999999997</v>
      </c>
      <c r="E118" s="416">
        <v>171.02566913148405</v>
      </c>
      <c r="F118" s="416">
        <v>469.36001551923698</v>
      </c>
      <c r="G118" s="416">
        <v>182.67801117213219</v>
      </c>
      <c r="H118" s="416">
        <v>2479.7765992225955</v>
      </c>
      <c r="I118" s="403">
        <v>4.7737293161099606E-2</v>
      </c>
    </row>
    <row r="119" spans="1:9" x14ac:dyDescent="0.2">
      <c r="A119" s="398" t="s">
        <v>1388</v>
      </c>
      <c r="B119" s="416">
        <v>222.23362391999999</v>
      </c>
      <c r="C119" s="416">
        <v>405.60845300986199</v>
      </c>
      <c r="D119" s="416">
        <v>785.11249999999995</v>
      </c>
      <c r="E119" s="416">
        <v>134.33058149310099</v>
      </c>
      <c r="F119" s="416">
        <v>462.90367095492411</v>
      </c>
      <c r="G119" s="416">
        <v>117.52246644029053</v>
      </c>
      <c r="H119" s="416">
        <v>2127.7112958181774</v>
      </c>
      <c r="I119" s="403">
        <v>4.0959809816133362E-2</v>
      </c>
    </row>
    <row r="120" spans="1:9" x14ac:dyDescent="0.2">
      <c r="A120" s="404" t="s">
        <v>56</v>
      </c>
      <c r="B120" s="405">
        <v>968.67071224000017</v>
      </c>
      <c r="C120" s="405">
        <v>822.15951808960403</v>
      </c>
      <c r="D120" s="405">
        <v>1278.83725</v>
      </c>
      <c r="E120" s="405">
        <v>305.35625062458507</v>
      </c>
      <c r="F120" s="405">
        <v>932.26368647416109</v>
      </c>
      <c r="G120" s="405">
        <v>300.20047761242273</v>
      </c>
      <c r="H120" s="405">
        <v>4607.4878950407729</v>
      </c>
      <c r="I120" s="409">
        <v>8.8697102977232961E-2</v>
      </c>
    </row>
    <row r="122" spans="1:9" x14ac:dyDescent="0.2">
      <c r="A122" s="410" t="s">
        <v>1458</v>
      </c>
    </row>
    <row r="123" spans="1:9" x14ac:dyDescent="0.2">
      <c r="A123" s="410" t="s">
        <v>1459</v>
      </c>
    </row>
    <row r="124" spans="1:9" x14ac:dyDescent="0.2">
      <c r="A124" s="410" t="s">
        <v>1460</v>
      </c>
    </row>
    <row r="125" spans="1:9" x14ac:dyDescent="0.2">
      <c r="A125" s="410" t="s">
        <v>1461</v>
      </c>
    </row>
    <row r="126" spans="1:9" x14ac:dyDescent="0.2">
      <c r="A126" s="410" t="s">
        <v>1462</v>
      </c>
    </row>
    <row r="127" spans="1:9" x14ac:dyDescent="0.2">
      <c r="A127" s="1"/>
    </row>
    <row r="128" spans="1:9" x14ac:dyDescent="0.2">
      <c r="A128" s="1" t="s">
        <v>53</v>
      </c>
    </row>
    <row r="129" spans="1:1" x14ac:dyDescent="0.2">
      <c r="A129" s="1" t="s">
        <v>1463</v>
      </c>
    </row>
    <row r="130" spans="1:1" x14ac:dyDescent="0.2">
      <c r="A130" s="1"/>
    </row>
    <row r="131" spans="1:1" x14ac:dyDescent="0.2">
      <c r="A131" s="1" t="s">
        <v>54</v>
      </c>
    </row>
    <row r="132" spans="1:1" x14ac:dyDescent="0.2">
      <c r="A132" s="1" t="s">
        <v>1464</v>
      </c>
    </row>
    <row r="133" spans="1:1" x14ac:dyDescent="0.2">
      <c r="A133" s="1"/>
    </row>
    <row r="134" spans="1:1" x14ac:dyDescent="0.2">
      <c r="A134" s="1" t="s">
        <v>51</v>
      </c>
    </row>
    <row r="135" spans="1:1" x14ac:dyDescent="0.2">
      <c r="A135" s="1" t="s">
        <v>1465</v>
      </c>
    </row>
    <row r="136" spans="1:1" x14ac:dyDescent="0.2">
      <c r="A136" s="1"/>
    </row>
    <row r="137" spans="1:1" x14ac:dyDescent="0.2">
      <c r="A137" s="1" t="s">
        <v>50</v>
      </c>
    </row>
    <row r="138" spans="1:1" x14ac:dyDescent="0.2">
      <c r="A138" s="1" t="s">
        <v>1466</v>
      </c>
    </row>
    <row r="139" spans="1:1" x14ac:dyDescent="0.2">
      <c r="A139" s="1"/>
    </row>
    <row r="140" spans="1:1" x14ac:dyDescent="0.2">
      <c r="A140" s="1" t="s">
        <v>49</v>
      </c>
    </row>
    <row r="141" spans="1:1" x14ac:dyDescent="0.2">
      <c r="A141" s="84" t="s">
        <v>1467</v>
      </c>
    </row>
    <row r="143" spans="1:1" x14ac:dyDescent="0.2">
      <c r="A143" s="371" t="s">
        <v>1468</v>
      </c>
    </row>
    <row r="145" spans="1:13" x14ac:dyDescent="0.2">
      <c r="A145" s="371"/>
      <c r="B145" s="412" t="s">
        <v>1469</v>
      </c>
      <c r="C145" s="412" t="s">
        <v>1470</v>
      </c>
      <c r="D145" s="412" t="s">
        <v>1471</v>
      </c>
      <c r="E145" s="412" t="s">
        <v>1472</v>
      </c>
      <c r="F145" s="412" t="s">
        <v>1473</v>
      </c>
      <c r="G145" s="412" t="s">
        <v>1474</v>
      </c>
      <c r="H145" s="412" t="s">
        <v>1475</v>
      </c>
      <c r="I145" s="412" t="s">
        <v>1476</v>
      </c>
      <c r="J145" s="412" t="s">
        <v>1477</v>
      </c>
      <c r="K145" s="412" t="s">
        <v>1478</v>
      </c>
      <c r="L145" s="412" t="s">
        <v>1431</v>
      </c>
      <c r="M145" s="413" t="s">
        <v>1415</v>
      </c>
    </row>
    <row r="146" spans="1:13" x14ac:dyDescent="0.2">
      <c r="A146" s="379"/>
      <c r="B146" s="414"/>
      <c r="C146" s="414"/>
      <c r="D146" s="414"/>
      <c r="E146" s="414"/>
      <c r="F146" s="414"/>
      <c r="G146" s="414"/>
      <c r="H146" s="414"/>
      <c r="I146" s="414"/>
      <c r="J146" s="414"/>
      <c r="K146" s="414"/>
      <c r="L146" s="414"/>
      <c r="M146" s="415"/>
    </row>
    <row r="147" spans="1:13" x14ac:dyDescent="0.2">
      <c r="A147" s="398" t="s">
        <v>1386</v>
      </c>
      <c r="B147" s="416">
        <v>0</v>
      </c>
      <c r="C147" s="416">
        <v>0</v>
      </c>
      <c r="D147" s="416">
        <v>0</v>
      </c>
      <c r="E147" s="416">
        <v>0</v>
      </c>
      <c r="F147" s="416">
        <v>0</v>
      </c>
      <c r="G147" s="416">
        <v>0</v>
      </c>
      <c r="H147" s="416">
        <v>0</v>
      </c>
      <c r="I147" s="416">
        <v>0</v>
      </c>
      <c r="J147" s="416">
        <v>0</v>
      </c>
      <c r="K147" s="416">
        <v>0</v>
      </c>
      <c r="L147" s="416">
        <v>0</v>
      </c>
      <c r="M147" s="403">
        <v>0</v>
      </c>
    </row>
    <row r="148" spans="1:13" x14ac:dyDescent="0.2">
      <c r="A148" s="398" t="s">
        <v>1387</v>
      </c>
      <c r="B148" s="416">
        <v>29.97</v>
      </c>
      <c r="C148" s="416">
        <v>51.925512156250051</v>
      </c>
      <c r="D148" s="416">
        <v>188.25858000000008</v>
      </c>
      <c r="E148" s="416">
        <v>48.747999999999998</v>
      </c>
      <c r="F148" s="416">
        <v>73.088566718750087</v>
      </c>
      <c r="G148" s="416">
        <v>33.200000000000003</v>
      </c>
      <c r="H148" s="416">
        <v>0</v>
      </c>
      <c r="I148" s="416">
        <v>641.578635588</v>
      </c>
      <c r="J148" s="416">
        <v>13.889167221445318</v>
      </c>
      <c r="K148" s="416">
        <v>45.605933653408286</v>
      </c>
      <c r="L148" s="416">
        <v>1126.264395337854</v>
      </c>
      <c r="M148" s="403">
        <v>2.168131340299238E-2</v>
      </c>
    </row>
    <row r="149" spans="1:13" x14ac:dyDescent="0.2">
      <c r="A149" s="398" t="s">
        <v>1388</v>
      </c>
      <c r="B149" s="416">
        <v>6.2720000000000002</v>
      </c>
      <c r="C149" s="416">
        <v>12.672848874999998</v>
      </c>
      <c r="D149" s="416">
        <v>118.88621999999999</v>
      </c>
      <c r="E149" s="416">
        <v>55</v>
      </c>
      <c r="F149" s="416">
        <v>28.438527624999995</v>
      </c>
      <c r="G149" s="416">
        <v>15</v>
      </c>
      <c r="H149" s="416">
        <v>0</v>
      </c>
      <c r="I149" s="416">
        <v>0</v>
      </c>
      <c r="J149" s="416">
        <v>9.1316107357867153</v>
      </c>
      <c r="K149" s="416">
        <v>252.14999999999995</v>
      </c>
      <c r="L149" s="416">
        <v>497.55120723578671</v>
      </c>
      <c r="M149" s="403">
        <v>9.5781804900973329E-3</v>
      </c>
    </row>
    <row r="150" spans="1:13" x14ac:dyDescent="0.2">
      <c r="A150" s="404" t="s">
        <v>56</v>
      </c>
      <c r="B150" s="405">
        <v>36.241999999999997</v>
      </c>
      <c r="C150" s="405">
        <v>64.59836103125005</v>
      </c>
      <c r="D150" s="405">
        <v>307.14480000000009</v>
      </c>
      <c r="E150" s="405">
        <v>103.74799999999999</v>
      </c>
      <c r="F150" s="405">
        <v>101.52709434375008</v>
      </c>
      <c r="G150" s="405">
        <v>48.2</v>
      </c>
      <c r="H150" s="405">
        <v>0</v>
      </c>
      <c r="I150" s="405">
        <v>641.578635588</v>
      </c>
      <c r="J150" s="405">
        <v>23.020777957232035</v>
      </c>
      <c r="K150" s="405">
        <v>297.75593365340825</v>
      </c>
      <c r="L150" s="405">
        <v>1623.8156025736407</v>
      </c>
      <c r="M150" s="409">
        <v>3.1259493893089713E-2</v>
      </c>
    </row>
    <row r="153" spans="1:13" x14ac:dyDescent="0.2">
      <c r="A153" s="133" t="s">
        <v>1479</v>
      </c>
    </row>
    <row r="154" spans="1:13" x14ac:dyDescent="0.2">
      <c r="A154" s="133"/>
    </row>
    <row r="155" spans="1:13" x14ac:dyDescent="0.2">
      <c r="A155" s="133" t="s">
        <v>1480</v>
      </c>
    </row>
    <row r="156" spans="1:13" x14ac:dyDescent="0.2">
      <c r="A156" s="133" t="s">
        <v>1481</v>
      </c>
    </row>
    <row r="157" spans="1:13" x14ac:dyDescent="0.2">
      <c r="M157" s="424"/>
    </row>
    <row r="158" spans="1:13" x14ac:dyDescent="0.2">
      <c r="A158" s="133" t="s">
        <v>1482</v>
      </c>
    </row>
    <row r="160" spans="1:13" x14ac:dyDescent="0.2">
      <c r="A160" s="371"/>
      <c r="B160" s="413" t="s">
        <v>1483</v>
      </c>
    </row>
    <row r="161" spans="1:4" x14ac:dyDescent="0.2">
      <c r="A161" s="379"/>
      <c r="B161" s="415"/>
    </row>
    <row r="162" spans="1:4" x14ac:dyDescent="0.2">
      <c r="A162" s="398" t="s">
        <v>1386</v>
      </c>
      <c r="B162" s="416">
        <v>672.05802990599204</v>
      </c>
    </row>
    <row r="163" spans="1:4" x14ac:dyDescent="0.2">
      <c r="A163" s="398" t="s">
        <v>1387</v>
      </c>
      <c r="B163" s="416">
        <v>25919.293022353631</v>
      </c>
    </row>
    <row r="164" spans="1:4" x14ac:dyDescent="0.2">
      <c r="A164" s="398" t="s">
        <v>1388</v>
      </c>
      <c r="B164" s="416">
        <v>25354.966700907989</v>
      </c>
    </row>
    <row r="165" spans="1:4" x14ac:dyDescent="0.2">
      <c r="A165" s="404" t="s">
        <v>56</v>
      </c>
      <c r="B165" s="405">
        <v>51946.317753167612</v>
      </c>
    </row>
    <row r="168" spans="1:4" x14ac:dyDescent="0.2">
      <c r="A168" s="371" t="s">
        <v>1484</v>
      </c>
    </row>
    <row r="170" spans="1:4" x14ac:dyDescent="0.2">
      <c r="A170" s="371" t="s">
        <v>1485</v>
      </c>
    </row>
    <row r="172" spans="1:4" x14ac:dyDescent="0.2">
      <c r="A172" s="371"/>
      <c r="B172" s="413" t="s">
        <v>1486</v>
      </c>
      <c r="C172" s="413" t="s">
        <v>1487</v>
      </c>
      <c r="D172" s="413" t="s">
        <v>1488</v>
      </c>
    </row>
    <row r="173" spans="1:4" x14ac:dyDescent="0.2">
      <c r="A173" s="379"/>
      <c r="B173" s="415"/>
      <c r="C173" s="415"/>
      <c r="D173" s="415"/>
    </row>
    <row r="174" spans="1:4" x14ac:dyDescent="0.2">
      <c r="A174" s="416" t="s">
        <v>1489</v>
      </c>
      <c r="B174" s="416">
        <v>6</v>
      </c>
      <c r="C174" s="416">
        <v>15000</v>
      </c>
      <c r="D174" s="416">
        <v>90</v>
      </c>
    </row>
    <row r="175" spans="1:4" x14ac:dyDescent="0.2">
      <c r="A175" s="416" t="s">
        <v>652</v>
      </c>
      <c r="B175" s="416">
        <v>13.333333333333334</v>
      </c>
      <c r="C175" s="416">
        <v>12870</v>
      </c>
      <c r="D175" s="416">
        <v>171.6</v>
      </c>
    </row>
    <row r="176" spans="1:4" x14ac:dyDescent="0.2">
      <c r="A176" s="416" t="s">
        <v>1490</v>
      </c>
      <c r="B176" s="416">
        <v>0</v>
      </c>
      <c r="C176" s="416">
        <v>0</v>
      </c>
      <c r="D176" s="416">
        <v>0</v>
      </c>
    </row>
    <row r="177" spans="1:4" x14ac:dyDescent="0.2">
      <c r="A177" s="404" t="s">
        <v>56</v>
      </c>
      <c r="B177" s="405">
        <v>19.333333333333336</v>
      </c>
      <c r="C177" s="405">
        <v>27870</v>
      </c>
      <c r="D177" s="405">
        <v>261.60000000000002</v>
      </c>
    </row>
    <row r="179" spans="1:4" x14ac:dyDescent="0.2">
      <c r="A179" s="133" t="s">
        <v>1491</v>
      </c>
    </row>
    <row r="180" spans="1:4" x14ac:dyDescent="0.2">
      <c r="A180" s="133" t="s">
        <v>1492</v>
      </c>
    </row>
    <row r="182" spans="1:4" x14ac:dyDescent="0.2">
      <c r="A182" s="371" t="s">
        <v>1493</v>
      </c>
    </row>
    <row r="184" spans="1:4" x14ac:dyDescent="0.2">
      <c r="A184" s="371"/>
      <c r="B184" s="413" t="s">
        <v>1494</v>
      </c>
      <c r="C184" s="413" t="s">
        <v>1495</v>
      </c>
      <c r="D184" s="413" t="s">
        <v>1488</v>
      </c>
    </row>
    <row r="185" spans="1:4" x14ac:dyDescent="0.2">
      <c r="A185" s="379" t="s">
        <v>1496</v>
      </c>
      <c r="B185" s="415"/>
      <c r="C185" s="415"/>
      <c r="D185" s="415"/>
    </row>
    <row r="186" spans="1:4" x14ac:dyDescent="0.2">
      <c r="A186" s="425" t="s">
        <v>8</v>
      </c>
      <c r="B186" s="416">
        <v>0</v>
      </c>
      <c r="C186" s="416">
        <v>0</v>
      </c>
      <c r="D186" s="416">
        <v>0</v>
      </c>
    </row>
    <row r="187" spans="1:4" x14ac:dyDescent="0.2">
      <c r="A187" s="425" t="s">
        <v>9</v>
      </c>
      <c r="B187" s="416">
        <v>0</v>
      </c>
      <c r="C187" s="416">
        <v>0</v>
      </c>
      <c r="D187" s="416">
        <v>0</v>
      </c>
    </row>
    <row r="188" spans="1:4" x14ac:dyDescent="0.2">
      <c r="A188" s="425" t="s">
        <v>10</v>
      </c>
      <c r="B188" s="416">
        <v>0</v>
      </c>
      <c r="C188" s="416">
        <v>0</v>
      </c>
      <c r="D188" s="416">
        <v>0</v>
      </c>
    </row>
    <row r="189" spans="1:4" x14ac:dyDescent="0.2">
      <c r="A189" s="425" t="s">
        <v>11</v>
      </c>
      <c r="B189" s="416">
        <v>0</v>
      </c>
      <c r="C189" s="416">
        <v>0</v>
      </c>
      <c r="D189" s="416">
        <v>0</v>
      </c>
    </row>
    <row r="190" spans="1:4" x14ac:dyDescent="0.2">
      <c r="A190" s="425" t="s">
        <v>12</v>
      </c>
      <c r="B190" s="416">
        <v>0</v>
      </c>
      <c r="C190" s="416">
        <v>0</v>
      </c>
      <c r="D190" s="416">
        <v>0</v>
      </c>
    </row>
    <row r="191" spans="1:4" x14ac:dyDescent="0.2">
      <c r="A191" s="404" t="s">
        <v>56</v>
      </c>
      <c r="B191" s="405">
        <v>0</v>
      </c>
      <c r="C191" s="405">
        <v>0</v>
      </c>
      <c r="D191" s="405">
        <v>0</v>
      </c>
    </row>
    <row r="193" spans="1:6" x14ac:dyDescent="0.2">
      <c r="A193" s="371" t="s">
        <v>1497</v>
      </c>
    </row>
    <row r="195" spans="1:6" x14ac:dyDescent="0.2">
      <c r="A195" s="371" t="s">
        <v>1436</v>
      </c>
    </row>
    <row r="197" spans="1:6" x14ac:dyDescent="0.2">
      <c r="A197" s="371"/>
      <c r="B197" s="413" t="s">
        <v>1498</v>
      </c>
    </row>
    <row r="198" spans="1:6" x14ac:dyDescent="0.2">
      <c r="A198" s="379"/>
      <c r="B198" s="415"/>
    </row>
    <row r="199" spans="1:6" x14ac:dyDescent="0.2">
      <c r="A199" s="398" t="s">
        <v>1499</v>
      </c>
      <c r="B199" s="416">
        <v>313.25599999999997</v>
      </c>
    </row>
    <row r="200" spans="1:6" x14ac:dyDescent="0.2">
      <c r="A200" s="404" t="s">
        <v>56</v>
      </c>
      <c r="B200" s="405">
        <v>313.25599999999997</v>
      </c>
    </row>
    <row r="202" spans="1:6" x14ac:dyDescent="0.2">
      <c r="A202" s="133" t="s">
        <v>1500</v>
      </c>
    </row>
    <row r="203" spans="1:6" x14ac:dyDescent="0.2">
      <c r="A203" s="133"/>
    </row>
    <row r="204" spans="1:6" ht="12.75" customHeight="1" x14ac:dyDescent="0.2">
      <c r="A204" s="371"/>
      <c r="B204" s="412" t="s">
        <v>1437</v>
      </c>
      <c r="C204" s="412" t="s">
        <v>1438</v>
      </c>
      <c r="D204" s="412" t="s">
        <v>1439</v>
      </c>
      <c r="E204" s="412" t="s">
        <v>1501</v>
      </c>
      <c r="F204" s="413" t="s">
        <v>1431</v>
      </c>
    </row>
    <row r="205" spans="1:6" x14ac:dyDescent="0.2">
      <c r="A205" s="379"/>
      <c r="B205" s="414"/>
      <c r="C205" s="414"/>
      <c r="D205" s="414"/>
      <c r="E205" s="414"/>
      <c r="F205" s="415"/>
    </row>
    <row r="206" spans="1:6" x14ac:dyDescent="0.2">
      <c r="A206" s="398" t="s">
        <v>1502</v>
      </c>
      <c r="B206" s="416">
        <v>0</v>
      </c>
      <c r="C206" s="416">
        <v>0</v>
      </c>
      <c r="D206" s="416">
        <v>0</v>
      </c>
      <c r="E206" s="416">
        <v>0</v>
      </c>
      <c r="F206" s="416">
        <v>0</v>
      </c>
    </row>
    <row r="207" spans="1:6" x14ac:dyDescent="0.2">
      <c r="A207" s="398" t="s">
        <v>1503</v>
      </c>
      <c r="B207" s="416">
        <v>163.83149499999999</v>
      </c>
      <c r="C207" s="416">
        <v>0</v>
      </c>
      <c r="D207" s="416">
        <v>0</v>
      </c>
      <c r="E207" s="416">
        <v>0</v>
      </c>
      <c r="F207" s="416">
        <v>163.83149499999999</v>
      </c>
    </row>
    <row r="208" spans="1:6" x14ac:dyDescent="0.2">
      <c r="A208" s="404" t="s">
        <v>56</v>
      </c>
      <c r="B208" s="405">
        <v>163.83149499999999</v>
      </c>
      <c r="C208" s="405">
        <v>0</v>
      </c>
      <c r="D208" s="405">
        <v>0</v>
      </c>
      <c r="E208" s="405">
        <v>0</v>
      </c>
      <c r="F208" s="405">
        <v>163.83149499999999</v>
      </c>
    </row>
    <row r="209" spans="1:8" x14ac:dyDescent="0.2">
      <c r="A209" s="133"/>
    </row>
    <row r="210" spans="1:8" x14ac:dyDescent="0.2">
      <c r="A210" s="84"/>
    </row>
    <row r="211" spans="1:8" x14ac:dyDescent="0.2">
      <c r="A211" s="133" t="s">
        <v>1504</v>
      </c>
    </row>
    <row r="212" spans="1:8" x14ac:dyDescent="0.2">
      <c r="A212" s="133"/>
    </row>
    <row r="213" spans="1:8" x14ac:dyDescent="0.2">
      <c r="A213" s="371" t="s">
        <v>1505</v>
      </c>
    </row>
    <row r="215" spans="1:8" x14ac:dyDescent="0.2">
      <c r="A215" s="371"/>
      <c r="B215" s="412" t="s">
        <v>1452</v>
      </c>
      <c r="C215" s="412" t="s">
        <v>1453</v>
      </c>
      <c r="D215" s="412" t="s">
        <v>1454</v>
      </c>
      <c r="E215" s="412" t="s">
        <v>1455</v>
      </c>
      <c r="F215" s="412" t="s">
        <v>1456</v>
      </c>
      <c r="G215" s="412" t="s">
        <v>1457</v>
      </c>
      <c r="H215" s="413" t="s">
        <v>1431</v>
      </c>
    </row>
    <row r="216" spans="1:8" x14ac:dyDescent="0.2">
      <c r="A216" s="379"/>
      <c r="B216" s="414"/>
      <c r="C216" s="414"/>
      <c r="D216" s="414"/>
      <c r="E216" s="414"/>
      <c r="F216" s="414"/>
      <c r="G216" s="414"/>
      <c r="H216" s="415"/>
    </row>
    <row r="217" spans="1:8" x14ac:dyDescent="0.2">
      <c r="A217" s="398" t="s">
        <v>1506</v>
      </c>
      <c r="B217" s="416">
        <v>0</v>
      </c>
      <c r="C217" s="416">
        <v>0</v>
      </c>
      <c r="D217" s="416">
        <v>0</v>
      </c>
      <c r="E217" s="416">
        <v>0</v>
      </c>
      <c r="F217" s="416">
        <v>0</v>
      </c>
      <c r="G217" s="416">
        <v>0</v>
      </c>
      <c r="H217" s="416">
        <v>0</v>
      </c>
    </row>
    <row r="218" spans="1:8" x14ac:dyDescent="0.2">
      <c r="A218" s="398" t="s">
        <v>1503</v>
      </c>
      <c r="B218" s="416">
        <v>0</v>
      </c>
      <c r="C218" s="416">
        <v>0</v>
      </c>
      <c r="D218" s="416">
        <v>30</v>
      </c>
      <c r="E218" s="416">
        <v>0</v>
      </c>
      <c r="F218" s="416">
        <v>0</v>
      </c>
      <c r="G218" s="416">
        <v>0</v>
      </c>
      <c r="H218" s="416">
        <v>30</v>
      </c>
    </row>
    <row r="219" spans="1:8" x14ac:dyDescent="0.2">
      <c r="A219" s="404" t="s">
        <v>56</v>
      </c>
      <c r="B219" s="405">
        <v>0</v>
      </c>
      <c r="C219" s="405">
        <v>0</v>
      </c>
      <c r="D219" s="405">
        <v>30</v>
      </c>
      <c r="E219" s="405">
        <v>0</v>
      </c>
      <c r="F219" s="405">
        <v>0</v>
      </c>
      <c r="G219" s="405">
        <v>0</v>
      </c>
      <c r="H219" s="405">
        <v>30</v>
      </c>
    </row>
    <row r="221" spans="1:8" x14ac:dyDescent="0.2">
      <c r="A221" s="133" t="s">
        <v>1507</v>
      </c>
      <c r="B221" s="411"/>
      <c r="C221" s="411"/>
    </row>
    <row r="222" spans="1:8" x14ac:dyDescent="0.2">
      <c r="A222" s="133"/>
    </row>
    <row r="223" spans="1:8" x14ac:dyDescent="0.2">
      <c r="A223" s="133" t="s">
        <v>53</v>
      </c>
      <c r="B223" s="411"/>
      <c r="C223" s="411"/>
      <c r="D223" s="411"/>
    </row>
    <row r="224" spans="1:8" x14ac:dyDescent="0.2">
      <c r="A224" s="133" t="s">
        <v>1463</v>
      </c>
      <c r="B224" s="411"/>
      <c r="C224" s="411"/>
      <c r="D224" s="411"/>
    </row>
    <row r="225" spans="1:12" x14ac:dyDescent="0.2">
      <c r="A225" s="133"/>
      <c r="B225" s="411"/>
      <c r="C225" s="411"/>
      <c r="D225" s="411"/>
    </row>
    <row r="226" spans="1:12" x14ac:dyDescent="0.2">
      <c r="A226" s="133" t="s">
        <v>54</v>
      </c>
      <c r="B226" s="411"/>
      <c r="C226" s="411"/>
      <c r="D226" s="411"/>
    </row>
    <row r="227" spans="1:12" x14ac:dyDescent="0.2">
      <c r="A227" s="133" t="s">
        <v>1508</v>
      </c>
      <c r="B227" s="411"/>
      <c r="C227" s="411"/>
      <c r="D227" s="411"/>
    </row>
    <row r="228" spans="1:12" x14ac:dyDescent="0.2">
      <c r="A228" s="133"/>
      <c r="B228" s="411"/>
      <c r="C228" s="411"/>
      <c r="D228" s="411"/>
    </row>
    <row r="229" spans="1:12" x14ac:dyDescent="0.2">
      <c r="A229" s="133" t="s">
        <v>51</v>
      </c>
      <c r="B229" s="411"/>
      <c r="C229" s="411"/>
      <c r="D229" s="411"/>
    </row>
    <row r="230" spans="1:12" x14ac:dyDescent="0.2">
      <c r="A230" s="133" t="s">
        <v>1465</v>
      </c>
      <c r="B230" s="411"/>
      <c r="C230" s="411"/>
      <c r="D230" s="411"/>
    </row>
    <row r="232" spans="1:12" x14ac:dyDescent="0.2">
      <c r="A232" s="410" t="s">
        <v>50</v>
      </c>
    </row>
    <row r="233" spans="1:12" x14ac:dyDescent="0.2">
      <c r="A233" s="133" t="s">
        <v>1509</v>
      </c>
    </row>
    <row r="235" spans="1:12" x14ac:dyDescent="0.2">
      <c r="A235" s="133" t="s">
        <v>49</v>
      </c>
      <c r="B235" s="411"/>
      <c r="C235" s="411"/>
      <c r="D235" s="411"/>
    </row>
    <row r="236" spans="1:12" x14ac:dyDescent="0.2">
      <c r="A236" s="133" t="s">
        <v>1467</v>
      </c>
      <c r="B236" s="411"/>
      <c r="C236" s="411"/>
      <c r="D236" s="411"/>
    </row>
    <row r="238" spans="1:12" x14ac:dyDescent="0.2">
      <c r="A238" s="371" t="s">
        <v>1468</v>
      </c>
    </row>
    <row r="240" spans="1:12" x14ac:dyDescent="0.2">
      <c r="A240" s="371"/>
      <c r="B240" s="412" t="s">
        <v>1469</v>
      </c>
      <c r="C240" s="412" t="s">
        <v>1470</v>
      </c>
      <c r="D240" s="412" t="s">
        <v>1471</v>
      </c>
      <c r="E240" s="412" t="s">
        <v>1472</v>
      </c>
      <c r="F240" s="412" t="s">
        <v>1473</v>
      </c>
      <c r="G240" s="412" t="s">
        <v>1474</v>
      </c>
      <c r="H240" s="412" t="s">
        <v>1475</v>
      </c>
      <c r="I240" s="412" t="s">
        <v>1476</v>
      </c>
      <c r="J240" s="412" t="s">
        <v>1477</v>
      </c>
      <c r="K240" s="412" t="s">
        <v>1478</v>
      </c>
      <c r="L240" s="413" t="s">
        <v>1431</v>
      </c>
    </row>
    <row r="241" spans="1:12" x14ac:dyDescent="0.2">
      <c r="A241" s="379"/>
      <c r="B241" s="414"/>
      <c r="C241" s="414"/>
      <c r="D241" s="414"/>
      <c r="E241" s="414"/>
      <c r="F241" s="414"/>
      <c r="G241" s="414"/>
      <c r="H241" s="414"/>
      <c r="I241" s="414"/>
      <c r="J241" s="414"/>
      <c r="K241" s="414"/>
      <c r="L241" s="415"/>
    </row>
    <row r="242" spans="1:12" x14ac:dyDescent="0.2">
      <c r="A242" s="398" t="s">
        <v>1499</v>
      </c>
      <c r="B242" s="416">
        <v>0</v>
      </c>
      <c r="C242" s="416">
        <v>0</v>
      </c>
      <c r="D242" s="416">
        <v>0</v>
      </c>
      <c r="E242" s="416">
        <v>0</v>
      </c>
      <c r="F242" s="416">
        <v>0</v>
      </c>
      <c r="G242" s="416">
        <v>0</v>
      </c>
      <c r="H242" s="416">
        <v>0</v>
      </c>
      <c r="I242" s="416">
        <v>0</v>
      </c>
      <c r="J242" s="416">
        <v>0</v>
      </c>
      <c r="K242" s="416">
        <v>0</v>
      </c>
      <c r="L242" s="416">
        <v>0</v>
      </c>
    </row>
    <row r="243" spans="1:12" x14ac:dyDescent="0.2">
      <c r="A243" s="404" t="s">
        <v>56</v>
      </c>
      <c r="B243" s="405">
        <v>0</v>
      </c>
      <c r="C243" s="405">
        <v>0</v>
      </c>
      <c r="D243" s="405">
        <v>0</v>
      </c>
      <c r="E243" s="405">
        <v>0</v>
      </c>
      <c r="F243" s="405">
        <v>0</v>
      </c>
      <c r="G243" s="405">
        <v>0</v>
      </c>
      <c r="H243" s="405">
        <v>0</v>
      </c>
      <c r="I243" s="405">
        <v>0</v>
      </c>
      <c r="J243" s="405">
        <v>0</v>
      </c>
      <c r="K243" s="405">
        <v>0</v>
      </c>
      <c r="L243" s="405">
        <v>0</v>
      </c>
    </row>
    <row r="245" spans="1:12" x14ac:dyDescent="0.2">
      <c r="A245" s="133" t="s">
        <v>1479</v>
      </c>
    </row>
    <row r="246" spans="1:12" x14ac:dyDescent="0.2">
      <c r="A246" s="133"/>
    </row>
    <row r="247" spans="1:12" x14ac:dyDescent="0.2">
      <c r="A247" s="426" t="s">
        <v>1510</v>
      </c>
      <c r="B247"/>
      <c r="C247"/>
      <c r="D247"/>
    </row>
    <row r="248" spans="1:12" x14ac:dyDescent="0.2">
      <c r="A248" s="133"/>
    </row>
    <row r="249" spans="1:12" x14ac:dyDescent="0.2">
      <c r="A249" s="371"/>
      <c r="B249" s="413" t="s">
        <v>1483</v>
      </c>
    </row>
    <row r="250" spans="1:12" x14ac:dyDescent="0.2">
      <c r="A250" s="379"/>
      <c r="B250" s="415"/>
    </row>
    <row r="251" spans="1:12" x14ac:dyDescent="0.2">
      <c r="A251" s="398" t="s">
        <v>1499</v>
      </c>
      <c r="B251" s="416">
        <v>768.68749500000001</v>
      </c>
    </row>
    <row r="252" spans="1:12" x14ac:dyDescent="0.2">
      <c r="A252" s="404" t="s">
        <v>56</v>
      </c>
      <c r="B252" s="405">
        <v>768.68749500000001</v>
      </c>
    </row>
    <row r="255" spans="1:12" x14ac:dyDescent="0.2">
      <c r="A255" s="371"/>
      <c r="B255" s="413" t="s">
        <v>1483</v>
      </c>
    </row>
    <row r="256" spans="1:12" x14ac:dyDescent="0.2">
      <c r="A256" s="379"/>
      <c r="B256" s="415"/>
    </row>
    <row r="257" spans="1:5" x14ac:dyDescent="0.2">
      <c r="A257" s="398" t="s">
        <v>1511</v>
      </c>
      <c r="B257" s="416">
        <v>52715.00524816761</v>
      </c>
      <c r="C257" s="84"/>
      <c r="E257" s="427"/>
    </row>
    <row r="258" spans="1:5" x14ac:dyDescent="0.2">
      <c r="A258" s="404" t="s">
        <v>56</v>
      </c>
      <c r="B258" s="405">
        <v>52715.00524816761</v>
      </c>
    </row>
  </sheetData>
  <mergeCells count="83">
    <mergeCell ref="I240:I241"/>
    <mergeCell ref="J240:J241"/>
    <mergeCell ref="K240:K241"/>
    <mergeCell ref="L240:L241"/>
    <mergeCell ref="B249:B250"/>
    <mergeCell ref="B255:B256"/>
    <mergeCell ref="H215:H216"/>
    <mergeCell ref="B240:B241"/>
    <mergeCell ref="C240:C241"/>
    <mergeCell ref="D240:D241"/>
    <mergeCell ref="E240:E241"/>
    <mergeCell ref="F240:F241"/>
    <mergeCell ref="G240:G241"/>
    <mergeCell ref="H240:H241"/>
    <mergeCell ref="B215:B216"/>
    <mergeCell ref="C215:C216"/>
    <mergeCell ref="D215:D216"/>
    <mergeCell ref="E215:E216"/>
    <mergeCell ref="F215:F216"/>
    <mergeCell ref="G215:G216"/>
    <mergeCell ref="B197:B198"/>
    <mergeCell ref="B204:B205"/>
    <mergeCell ref="C204:C205"/>
    <mergeCell ref="D204:D205"/>
    <mergeCell ref="E204:E205"/>
    <mergeCell ref="F204:F205"/>
    <mergeCell ref="B172:B173"/>
    <mergeCell ref="C172:C173"/>
    <mergeCell ref="D172:D173"/>
    <mergeCell ref="B184:B185"/>
    <mergeCell ref="C184:C185"/>
    <mergeCell ref="D184:D185"/>
    <mergeCell ref="I145:I146"/>
    <mergeCell ref="J145:J146"/>
    <mergeCell ref="K145:K146"/>
    <mergeCell ref="L145:L146"/>
    <mergeCell ref="M145:M146"/>
    <mergeCell ref="B160:B161"/>
    <mergeCell ref="G115:G116"/>
    <mergeCell ref="H115:H116"/>
    <mergeCell ref="I115:I116"/>
    <mergeCell ref="B145:B146"/>
    <mergeCell ref="C145:C146"/>
    <mergeCell ref="D145:D146"/>
    <mergeCell ref="E145:E146"/>
    <mergeCell ref="F145:F146"/>
    <mergeCell ref="G145:G146"/>
    <mergeCell ref="H145:H146"/>
    <mergeCell ref="C92:C93"/>
    <mergeCell ref="D92:D93"/>
    <mergeCell ref="E92:E93"/>
    <mergeCell ref="F92:F93"/>
    <mergeCell ref="G92:G93"/>
    <mergeCell ref="B115:B116"/>
    <mergeCell ref="C115:C116"/>
    <mergeCell ref="D115:D116"/>
    <mergeCell ref="E115:E116"/>
    <mergeCell ref="F115:F116"/>
    <mergeCell ref="A78:B78"/>
    <mergeCell ref="A79:B79"/>
    <mergeCell ref="A80:B80"/>
    <mergeCell ref="A81:B81"/>
    <mergeCell ref="A82:B82"/>
    <mergeCell ref="B92:B93"/>
    <mergeCell ref="C74:C75"/>
    <mergeCell ref="D74:D75"/>
    <mergeCell ref="E74:E75"/>
    <mergeCell ref="F74:F75"/>
    <mergeCell ref="A76:B76"/>
    <mergeCell ref="A77:B77"/>
    <mergeCell ref="B54:B55"/>
    <mergeCell ref="C54:C55"/>
    <mergeCell ref="B64:B65"/>
    <mergeCell ref="C64:C65"/>
    <mergeCell ref="D64:D65"/>
    <mergeCell ref="E64:E65"/>
    <mergeCell ref="B6:D6"/>
    <mergeCell ref="F6:H6"/>
    <mergeCell ref="I6:K6"/>
    <mergeCell ref="B43:B44"/>
    <mergeCell ref="C43:C44"/>
    <mergeCell ref="D43:D44"/>
    <mergeCell ref="E43:E44"/>
  </mergeCells>
  <pageMargins left="0.7" right="0.7" top="0.75" bottom="0.75" header="0.3" footer="0.3"/>
  <pageSetup paperSize="9" scale="76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1:T69"/>
  <sheetViews>
    <sheetView zoomScale="80" zoomScaleNormal="80" workbookViewId="0">
      <selection activeCell="M20" sqref="M20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" width="17.140625" style="1" customWidth="1"/>
    <col min="17" max="17" width="13" style="1" bestFit="1" customWidth="1"/>
    <col min="18" max="19" width="9.140625" style="1"/>
    <col min="20" max="20" width="9.5703125" style="1" bestFit="1" customWidth="1"/>
    <col min="21" max="16384" width="9.140625" style="1"/>
  </cols>
  <sheetData>
    <row r="1" spans="1:16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6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6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6" ht="15.75" x14ac:dyDescent="0.25">
      <c r="A5" s="5" t="s">
        <v>13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6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6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6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6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6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6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6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6" ht="15" x14ac:dyDescent="0.2">
      <c r="A15" s="7"/>
      <c r="B15" s="7"/>
      <c r="C15" s="16" t="s">
        <v>8</v>
      </c>
      <c r="D15" s="7"/>
      <c r="E15" s="17">
        <v>3516.6354325009966</v>
      </c>
      <c r="F15" s="7"/>
      <c r="G15" s="18"/>
      <c r="H15" s="7"/>
      <c r="I15" s="19">
        <v>228</v>
      </c>
      <c r="J15" s="7"/>
      <c r="K15" s="20"/>
      <c r="L15" s="7"/>
      <c r="M15" s="21">
        <v>801792.87861022726</v>
      </c>
      <c r="N15" s="7"/>
      <c r="O15" s="7"/>
      <c r="P15" s="334"/>
    </row>
    <row r="16" spans="1:16" ht="15" x14ac:dyDescent="0.2">
      <c r="A16" s="7"/>
      <c r="B16" s="7"/>
      <c r="C16" s="16" t="s">
        <v>9</v>
      </c>
      <c r="D16" s="7"/>
      <c r="E16" s="17">
        <v>3554.4609973218712</v>
      </c>
      <c r="F16" s="7"/>
      <c r="G16" s="18"/>
      <c r="H16" s="7"/>
      <c r="I16" s="19">
        <v>243</v>
      </c>
      <c r="J16" s="7"/>
      <c r="K16" s="20"/>
      <c r="L16" s="7"/>
      <c r="M16" s="21">
        <v>863734.02234921476</v>
      </c>
      <c r="N16" s="7"/>
      <c r="O16" s="7"/>
      <c r="P16" s="334"/>
    </row>
    <row r="17" spans="1:20" ht="15" x14ac:dyDescent="0.2">
      <c r="A17" s="7"/>
      <c r="B17" s="7"/>
      <c r="C17" s="16" t="s">
        <v>10</v>
      </c>
      <c r="D17" s="7"/>
      <c r="E17" s="17">
        <v>3569.591223250221</v>
      </c>
      <c r="F17" s="7"/>
      <c r="G17" s="18"/>
      <c r="H17" s="7"/>
      <c r="I17" s="19">
        <v>272</v>
      </c>
      <c r="J17" s="7"/>
      <c r="K17" s="20"/>
      <c r="L17" s="7"/>
      <c r="M17" s="21">
        <v>970928.81272406015</v>
      </c>
      <c r="N17" s="7"/>
      <c r="O17" s="7"/>
      <c r="P17" s="334"/>
    </row>
    <row r="18" spans="1:20" ht="15" x14ac:dyDescent="0.2">
      <c r="A18" s="7"/>
      <c r="B18" s="7"/>
      <c r="C18" s="22" t="s">
        <v>11</v>
      </c>
      <c r="D18" s="7"/>
      <c r="E18" s="17">
        <v>3930.5048933850489</v>
      </c>
      <c r="F18" s="7"/>
      <c r="G18" s="18"/>
      <c r="H18" s="7"/>
      <c r="I18" s="19">
        <v>217</v>
      </c>
      <c r="J18" s="7"/>
      <c r="K18" s="20"/>
      <c r="L18" s="7"/>
      <c r="M18" s="21">
        <v>852919.56186455558</v>
      </c>
      <c r="N18" s="7"/>
      <c r="O18" s="7"/>
      <c r="P18" s="334"/>
    </row>
    <row r="19" spans="1:20" ht="15" x14ac:dyDescent="0.2">
      <c r="A19" s="7"/>
      <c r="B19" s="7"/>
      <c r="C19" s="22" t="s">
        <v>12</v>
      </c>
      <c r="D19" s="7"/>
      <c r="E19" s="17">
        <v>4298.4129394210549</v>
      </c>
      <c r="F19" s="7"/>
      <c r="G19" s="18"/>
      <c r="H19" s="7"/>
      <c r="I19" s="19">
        <v>220</v>
      </c>
      <c r="J19" s="7"/>
      <c r="K19" s="20"/>
      <c r="L19" s="7"/>
      <c r="M19" s="21">
        <v>945650.84667263203</v>
      </c>
      <c r="N19" s="7"/>
      <c r="O19" s="7"/>
      <c r="P19" s="334"/>
    </row>
    <row r="20" spans="1:20" ht="15" x14ac:dyDescent="0.2">
      <c r="A20" s="7"/>
      <c r="B20" s="7"/>
      <c r="C20" s="7"/>
      <c r="D20" s="7"/>
      <c r="E20" s="7"/>
      <c r="F20" s="7"/>
      <c r="G20" s="9"/>
      <c r="H20" s="7"/>
      <c r="I20" s="7"/>
      <c r="J20" s="7"/>
      <c r="K20" s="9"/>
      <c r="L20" s="7"/>
      <c r="M20" s="23"/>
      <c r="N20" s="7"/>
      <c r="O20" s="7"/>
    </row>
    <row r="21" spans="1:20" ht="16.5" thickBot="1" x14ac:dyDescent="0.3">
      <c r="A21" s="7"/>
      <c r="B21" s="7"/>
      <c r="C21" s="7"/>
      <c r="D21" s="7"/>
      <c r="E21" s="7"/>
      <c r="F21" s="7"/>
      <c r="G21" s="18"/>
      <c r="H21" s="7"/>
      <c r="I21" s="24">
        <v>1180</v>
      </c>
      <c r="J21" s="7"/>
      <c r="K21" s="20"/>
      <c r="L21" s="7"/>
      <c r="M21" s="25">
        <v>4435026.1222206894</v>
      </c>
      <c r="N21" s="7"/>
      <c r="O21" s="26">
        <v>4435026.1222206894</v>
      </c>
      <c r="Q21" s="150"/>
    </row>
    <row r="22" spans="1:20" ht="15.75" thickTop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9"/>
      <c r="L22" s="7"/>
      <c r="M22" s="7"/>
      <c r="N22" s="7"/>
      <c r="O22" s="7"/>
      <c r="Q22" s="150"/>
    </row>
    <row r="23" spans="1:20" ht="15.75" x14ac:dyDescent="0.25">
      <c r="A23" s="7"/>
      <c r="B23" s="8" t="s">
        <v>65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150"/>
    </row>
    <row r="24" spans="1:20" ht="15.75" x14ac:dyDescent="0.25">
      <c r="A24" s="7"/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150"/>
    </row>
    <row r="25" spans="1:20" ht="15" x14ac:dyDescent="0.2">
      <c r="A25" s="7"/>
      <c r="B25" s="7"/>
      <c r="C25" s="7"/>
      <c r="D25" s="7"/>
      <c r="E25" s="7" t="s">
        <v>49</v>
      </c>
      <c r="F25" s="7"/>
      <c r="G25" s="7"/>
      <c r="H25" s="7"/>
      <c r="I25" s="7"/>
      <c r="J25" s="7"/>
      <c r="K25" s="7"/>
      <c r="L25" s="7"/>
      <c r="M25" s="27">
        <v>17095</v>
      </c>
      <c r="N25" s="7"/>
      <c r="O25" s="7"/>
      <c r="Q25" s="150"/>
      <c r="R25" s="82"/>
      <c r="T25" s="82"/>
    </row>
    <row r="26" spans="1:20" ht="15" x14ac:dyDescent="0.2">
      <c r="A26" s="7"/>
      <c r="B26" s="7"/>
      <c r="C26" s="7"/>
      <c r="D26" s="7"/>
      <c r="E26" s="7" t="s">
        <v>66</v>
      </c>
      <c r="F26" s="7"/>
      <c r="G26" s="7"/>
      <c r="H26" s="7"/>
      <c r="I26" s="7"/>
      <c r="J26" s="7"/>
      <c r="K26" s="7"/>
      <c r="L26" s="7"/>
      <c r="M26" s="27">
        <v>55558.405979999996</v>
      </c>
      <c r="N26" s="7"/>
      <c r="O26" s="7"/>
      <c r="Q26" s="150"/>
      <c r="R26" s="82"/>
      <c r="T26" s="82"/>
    </row>
    <row r="27" spans="1:20" ht="15" x14ac:dyDescent="0.2">
      <c r="A27" s="7"/>
      <c r="B27" s="7"/>
      <c r="C27" s="7"/>
      <c r="D27" s="7"/>
      <c r="E27" s="7" t="s">
        <v>53</v>
      </c>
      <c r="F27" s="7"/>
      <c r="G27" s="7"/>
      <c r="H27" s="7"/>
      <c r="I27" s="7"/>
      <c r="J27" s="7"/>
      <c r="K27" s="7"/>
      <c r="L27" s="7"/>
      <c r="M27" s="27">
        <v>106532.17177674847</v>
      </c>
      <c r="N27" s="7"/>
      <c r="O27" s="7"/>
      <c r="Q27" s="150"/>
      <c r="R27" s="82"/>
      <c r="T27" s="82"/>
    </row>
    <row r="28" spans="1:20" ht="15" x14ac:dyDescent="0.2">
      <c r="A28" s="7"/>
      <c r="B28" s="7"/>
      <c r="C28" s="7"/>
      <c r="D28" s="7"/>
      <c r="E28" s="7" t="s">
        <v>50</v>
      </c>
      <c r="F28" s="7"/>
      <c r="G28" s="7"/>
      <c r="H28" s="7"/>
      <c r="I28" s="7"/>
      <c r="J28" s="7"/>
      <c r="K28" s="7"/>
      <c r="L28" s="7"/>
      <c r="M28" s="27">
        <v>121580.63527600694</v>
      </c>
      <c r="N28" s="7"/>
      <c r="O28" s="7"/>
      <c r="Q28" s="150"/>
      <c r="R28" s="82"/>
      <c r="T28" s="82"/>
    </row>
    <row r="29" spans="1:20" ht="15" x14ac:dyDescent="0.2">
      <c r="A29" s="7"/>
      <c r="B29" s="7"/>
      <c r="C29" s="7"/>
      <c r="D29" s="7"/>
      <c r="E29" s="7" t="s">
        <v>54</v>
      </c>
      <c r="F29" s="7"/>
      <c r="G29" s="7"/>
      <c r="H29" s="7"/>
      <c r="I29" s="7"/>
      <c r="J29" s="7"/>
      <c r="K29" s="7"/>
      <c r="L29" s="7"/>
      <c r="M29" s="27">
        <v>242087.5</v>
      </c>
      <c r="N29" s="7"/>
      <c r="O29" s="7"/>
      <c r="Q29" s="150"/>
      <c r="R29" s="82"/>
      <c r="T29" s="82"/>
    </row>
    <row r="30" spans="1:20" ht="15" x14ac:dyDescent="0.2">
      <c r="A30" s="7"/>
      <c r="B30" s="7"/>
      <c r="C30" s="7"/>
      <c r="D30" s="7"/>
      <c r="E30" s="7" t="s">
        <v>51</v>
      </c>
      <c r="F30" s="7"/>
      <c r="G30" s="7"/>
      <c r="H30" s="7"/>
      <c r="I30" s="7"/>
      <c r="J30" s="7"/>
      <c r="K30" s="7"/>
      <c r="L30" s="7"/>
      <c r="M30" s="27">
        <v>45032.599517274568</v>
      </c>
      <c r="N30" s="7"/>
      <c r="O30" s="7"/>
      <c r="Q30" s="150"/>
      <c r="R30" s="82"/>
      <c r="T30" s="82"/>
    </row>
    <row r="31" spans="1:20" ht="1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27"/>
      <c r="N31" s="7"/>
      <c r="O31" s="7"/>
      <c r="Q31" s="150"/>
      <c r="R31" s="82"/>
      <c r="T31" s="82"/>
    </row>
    <row r="32" spans="1:20" ht="15" x14ac:dyDescent="0.2">
      <c r="A32" s="7"/>
      <c r="B32" s="7"/>
      <c r="C32" s="7"/>
      <c r="D32" s="7"/>
      <c r="E32" s="7" t="s">
        <v>67</v>
      </c>
      <c r="F32" s="7"/>
      <c r="G32" s="7"/>
      <c r="H32" s="7"/>
      <c r="I32" s="7"/>
      <c r="J32" s="7"/>
      <c r="K32" s="7"/>
      <c r="L32" s="7"/>
      <c r="M32" s="27">
        <v>1568</v>
      </c>
      <c r="N32" s="7"/>
      <c r="O32" s="7"/>
      <c r="Q32" s="150"/>
      <c r="R32" s="82"/>
      <c r="T32" s="82"/>
    </row>
    <row r="33" spans="1:20" ht="15" x14ac:dyDescent="0.2">
      <c r="A33" s="7"/>
      <c r="B33" s="7"/>
      <c r="C33" s="7"/>
      <c r="D33" s="7"/>
      <c r="E33" s="7" t="s">
        <v>68</v>
      </c>
      <c r="F33" s="7"/>
      <c r="G33" s="7"/>
      <c r="H33" s="7"/>
      <c r="I33" s="7"/>
      <c r="J33" s="7"/>
      <c r="K33" s="7"/>
      <c r="L33" s="7"/>
      <c r="M33" s="27">
        <v>3168.2122187499995</v>
      </c>
      <c r="N33" s="7"/>
      <c r="O33" s="7"/>
      <c r="Q33" s="150"/>
      <c r="R33" s="82"/>
      <c r="T33" s="82"/>
    </row>
    <row r="34" spans="1:20" ht="15" x14ac:dyDescent="0.2">
      <c r="A34" s="7"/>
      <c r="B34" s="7"/>
      <c r="C34" s="7"/>
      <c r="D34" s="7"/>
      <c r="E34" s="28" t="s">
        <v>69</v>
      </c>
      <c r="F34" s="7"/>
      <c r="G34" s="7"/>
      <c r="H34" s="7"/>
      <c r="I34" s="7"/>
      <c r="J34" s="7"/>
      <c r="K34" s="7"/>
      <c r="L34" s="7"/>
      <c r="M34" s="27">
        <v>13750</v>
      </c>
      <c r="N34" s="7"/>
      <c r="O34" s="7"/>
      <c r="Q34" s="150"/>
      <c r="R34" s="82"/>
      <c r="T34" s="82"/>
    </row>
    <row r="35" spans="1:20" ht="15" x14ac:dyDescent="0.2">
      <c r="A35" s="7"/>
      <c r="B35" s="7"/>
      <c r="C35" s="7"/>
      <c r="D35" s="7"/>
      <c r="E35" s="95" t="s">
        <v>786</v>
      </c>
      <c r="F35" s="7"/>
      <c r="G35" s="7"/>
      <c r="H35" s="7"/>
      <c r="I35" s="7"/>
      <c r="J35" s="7"/>
      <c r="K35" s="7"/>
      <c r="L35" s="7"/>
      <c r="M35" s="27">
        <v>34715.599999999999</v>
      </c>
      <c r="N35" s="7"/>
      <c r="O35" s="7"/>
      <c r="Q35" s="150"/>
      <c r="R35" s="82"/>
      <c r="T35" s="82"/>
    </row>
    <row r="36" spans="1:20" ht="15" x14ac:dyDescent="0.2">
      <c r="A36" s="7"/>
      <c r="B36" s="7"/>
      <c r="C36" s="7"/>
      <c r="D36" s="7"/>
      <c r="E36" s="7" t="s">
        <v>70</v>
      </c>
      <c r="F36" s="7"/>
      <c r="G36" s="7"/>
      <c r="H36" s="7"/>
      <c r="I36" s="7"/>
      <c r="J36" s="7"/>
      <c r="K36" s="7"/>
      <c r="L36" s="7"/>
      <c r="M36" s="27">
        <v>4000</v>
      </c>
      <c r="N36" s="7"/>
      <c r="O36" s="7"/>
      <c r="Q36" s="150"/>
      <c r="R36" s="82"/>
      <c r="T36" s="82"/>
    </row>
    <row r="37" spans="1:20" ht="15" x14ac:dyDescent="0.2">
      <c r="A37" s="7"/>
      <c r="B37" s="7"/>
      <c r="C37" s="7"/>
      <c r="D37" s="7"/>
      <c r="E37" s="7" t="s">
        <v>71</v>
      </c>
      <c r="F37" s="7"/>
      <c r="G37" s="7"/>
      <c r="H37" s="7"/>
      <c r="I37" s="7"/>
      <c r="J37" s="7"/>
      <c r="K37" s="7"/>
      <c r="L37" s="7"/>
      <c r="M37" s="27">
        <v>7109.6319062499988</v>
      </c>
      <c r="N37" s="7"/>
      <c r="O37" s="7"/>
      <c r="Q37" s="150"/>
      <c r="R37" s="82"/>
      <c r="T37" s="82"/>
    </row>
    <row r="38" spans="1:20" ht="15" x14ac:dyDescent="0.2">
      <c r="A38" s="7"/>
      <c r="B38" s="7"/>
      <c r="C38" s="7"/>
      <c r="D38" s="7"/>
      <c r="E38" s="7" t="s">
        <v>72</v>
      </c>
      <c r="F38" s="7"/>
      <c r="G38" s="7"/>
      <c r="H38" s="7"/>
      <c r="I38" s="7"/>
      <c r="J38" s="7"/>
      <c r="K38" s="7"/>
      <c r="L38" s="7"/>
      <c r="M38" s="27">
        <v>63037.499999999985</v>
      </c>
      <c r="N38" s="7"/>
      <c r="O38" s="7"/>
      <c r="Q38" s="150"/>
      <c r="R38" s="82"/>
      <c r="T38" s="82"/>
    </row>
    <row r="39" spans="1:20" ht="15" x14ac:dyDescent="0.2">
      <c r="A39" s="7"/>
      <c r="B39" s="7"/>
      <c r="C39" s="7"/>
      <c r="D39" s="7"/>
      <c r="E39" s="7" t="s">
        <v>55</v>
      </c>
      <c r="F39" s="7"/>
      <c r="G39" s="7"/>
      <c r="H39" s="7"/>
      <c r="I39" s="7"/>
      <c r="J39" s="7"/>
      <c r="K39" s="7"/>
      <c r="L39" s="7"/>
      <c r="M39" s="27">
        <v>2282.9026839466787</v>
      </c>
      <c r="N39" s="7"/>
      <c r="O39" s="7"/>
      <c r="Q39" s="150"/>
      <c r="R39" s="82"/>
      <c r="T39" s="82"/>
    </row>
    <row r="40" spans="1:20" ht="1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27"/>
      <c r="N40" s="7"/>
      <c r="O40" s="7"/>
      <c r="Q40" s="150"/>
      <c r="R40" s="82"/>
      <c r="T40" s="82"/>
    </row>
    <row r="41" spans="1:20" ht="15" x14ac:dyDescent="0.2">
      <c r="A41" s="7"/>
      <c r="B41" s="7"/>
      <c r="C41" s="7"/>
      <c r="D41" s="7"/>
      <c r="E41" s="7" t="s">
        <v>81</v>
      </c>
      <c r="F41" s="7"/>
      <c r="G41" s="7"/>
      <c r="H41" s="7"/>
      <c r="I41" s="7"/>
      <c r="J41" s="7"/>
      <c r="K41" s="7"/>
      <c r="L41" s="7"/>
      <c r="M41" s="27">
        <v>95506.92</v>
      </c>
      <c r="N41" s="7"/>
      <c r="O41" s="7"/>
      <c r="Q41" s="150"/>
      <c r="R41" s="82"/>
      <c r="T41" s="82"/>
    </row>
    <row r="42" spans="1:20" ht="15" x14ac:dyDescent="0.2">
      <c r="A42" s="7"/>
      <c r="B42" s="7"/>
      <c r="C42" s="7"/>
      <c r="D42" s="7"/>
      <c r="E42" s="7" t="s">
        <v>79</v>
      </c>
      <c r="F42" s="7"/>
      <c r="G42" s="7"/>
      <c r="H42" s="7"/>
      <c r="I42" s="7"/>
      <c r="J42" s="7"/>
      <c r="K42" s="7"/>
      <c r="L42" s="7"/>
      <c r="M42" s="27">
        <v>1930.4347826086955</v>
      </c>
      <c r="N42" s="7"/>
      <c r="O42" s="7"/>
      <c r="Q42" s="150"/>
      <c r="R42" s="82"/>
      <c r="T42" s="82"/>
    </row>
    <row r="43" spans="1:20" ht="15" x14ac:dyDescent="0.2">
      <c r="A43" s="7"/>
      <c r="B43" s="7"/>
      <c r="C43" s="7"/>
      <c r="D43" s="7"/>
      <c r="E43" s="7" t="s">
        <v>73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  <c r="Q43" s="150"/>
      <c r="R43" s="82"/>
      <c r="T43" s="82"/>
    </row>
    <row r="44" spans="1:20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  <c r="Q44" s="150"/>
      <c r="R44" s="82"/>
      <c r="T44" s="82"/>
    </row>
    <row r="45" spans="1:20" ht="15" x14ac:dyDescent="0.2">
      <c r="A45" s="7"/>
      <c r="B45" s="7"/>
      <c r="C45" s="7"/>
      <c r="D45" s="7"/>
      <c r="E45" s="7" t="s">
        <v>74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  <c r="Q45" s="150"/>
      <c r="R45" s="82"/>
      <c r="T45" s="82"/>
    </row>
    <row r="46" spans="1:20" ht="15" x14ac:dyDescent="0.2">
      <c r="A46" s="7"/>
      <c r="B46" s="7"/>
      <c r="C46" s="7"/>
      <c r="D46" s="7"/>
      <c r="E46" s="7" t="s">
        <v>75</v>
      </c>
      <c r="F46" s="7"/>
      <c r="G46" s="7"/>
      <c r="H46" s="7"/>
      <c r="I46" s="7"/>
      <c r="J46" s="7"/>
      <c r="K46" s="7"/>
      <c r="L46" s="7"/>
      <c r="M46" s="27">
        <v>294451.21199999994</v>
      </c>
      <c r="N46" s="7"/>
      <c r="O46" s="7"/>
      <c r="Q46" s="150"/>
      <c r="R46" s="82"/>
      <c r="T46" s="82"/>
    </row>
    <row r="47" spans="1:20" ht="1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T47" s="82"/>
    </row>
    <row r="48" spans="1:20" ht="16.5" thickBo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30">
        <v>1109406.7261415853</v>
      </c>
      <c r="N48" s="7"/>
      <c r="O48" s="31">
        <v>1109406.7261415853</v>
      </c>
      <c r="Q48" s="96"/>
      <c r="T48" s="82"/>
    </row>
    <row r="49" spans="1:20" ht="16.5" thickTop="1" x14ac:dyDescent="0.25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32"/>
      <c r="N49" s="7"/>
      <c r="O49" s="31"/>
      <c r="T49" s="82"/>
    </row>
    <row r="50" spans="1:20" ht="15.75" x14ac:dyDescent="0.25">
      <c r="A50" s="7"/>
      <c r="B50" s="333" t="s">
        <v>1281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338">
        <v>764889</v>
      </c>
      <c r="N50" s="7"/>
      <c r="O50" s="34">
        <v>764889</v>
      </c>
      <c r="P50" s="340"/>
      <c r="Q50" s="96"/>
      <c r="T50" s="82"/>
    </row>
    <row r="51" spans="1:20" ht="15.75" x14ac:dyDescent="0.25">
      <c r="A51" s="7"/>
      <c r="B51" s="333" t="s">
        <v>1282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338">
        <v>31571</v>
      </c>
      <c r="N51" s="7"/>
      <c r="O51" s="34">
        <v>31571</v>
      </c>
      <c r="P51" s="340"/>
      <c r="Q51" s="96"/>
      <c r="T51" s="82"/>
    </row>
    <row r="52" spans="1:20" ht="15" x14ac:dyDescent="0.2">
      <c r="A52" s="7"/>
      <c r="B52" s="7"/>
      <c r="C52" s="11"/>
      <c r="D52" s="7"/>
      <c r="E52" s="11"/>
      <c r="F52" s="7"/>
      <c r="G52" s="7"/>
      <c r="H52" s="11"/>
      <c r="I52" s="7"/>
      <c r="J52" s="7"/>
      <c r="K52" s="7"/>
      <c r="L52" s="7"/>
      <c r="M52" s="7"/>
      <c r="N52" s="7"/>
      <c r="O52" s="7"/>
      <c r="T52" s="82"/>
    </row>
    <row r="53" spans="1:20" ht="15.75" x14ac:dyDescent="0.25">
      <c r="A53" s="7"/>
      <c r="B53" s="8" t="s">
        <v>650</v>
      </c>
      <c r="C53" s="7"/>
      <c r="D53" s="7"/>
      <c r="E53" s="11"/>
      <c r="F53" s="7"/>
      <c r="G53" s="11"/>
      <c r="H53" s="7"/>
      <c r="I53" s="11"/>
      <c r="J53" s="7"/>
      <c r="K53" s="11"/>
      <c r="L53" s="7"/>
      <c r="M53" s="12"/>
      <c r="N53" s="7"/>
      <c r="O53" s="7"/>
      <c r="T53" s="82"/>
    </row>
    <row r="54" spans="1:20" ht="15" x14ac:dyDescent="0.2">
      <c r="A54" s="7"/>
      <c r="B54" s="7"/>
      <c r="C54" s="151" t="s">
        <v>1285</v>
      </c>
      <c r="D54" s="7"/>
      <c r="E54" s="11"/>
      <c r="F54" s="7"/>
      <c r="G54" s="7"/>
      <c r="H54" s="7"/>
      <c r="I54" s="7"/>
      <c r="J54" s="7"/>
      <c r="K54" s="7"/>
      <c r="L54" s="7"/>
      <c r="M54" s="27">
        <v>47360</v>
      </c>
      <c r="N54" s="7"/>
      <c r="O54" s="7"/>
      <c r="T54" s="82"/>
    </row>
    <row r="55" spans="1:20" ht="15" x14ac:dyDescent="0.2">
      <c r="A55" s="7"/>
      <c r="B55" s="7"/>
      <c r="C55" s="12"/>
      <c r="D55" s="7"/>
      <c r="E55" s="36"/>
      <c r="F55" s="7"/>
      <c r="G55" s="12"/>
      <c r="H55" s="7"/>
      <c r="I55" s="12"/>
      <c r="J55" s="7"/>
      <c r="K55" s="12"/>
      <c r="L55" s="7"/>
      <c r="M55" s="35"/>
      <c r="N55" s="7"/>
      <c r="O55" s="7"/>
      <c r="T55" s="82"/>
    </row>
    <row r="56" spans="1:20" ht="15" x14ac:dyDescent="0.2">
      <c r="A56" s="7"/>
      <c r="B56" s="7"/>
      <c r="C56" s="95" t="s">
        <v>1286</v>
      </c>
      <c r="D56" s="7"/>
      <c r="E56" s="36"/>
      <c r="F56" s="7"/>
      <c r="G56" s="12"/>
      <c r="H56" s="7"/>
      <c r="I56" s="12"/>
      <c r="J56" s="7"/>
      <c r="K56" s="12"/>
      <c r="L56" s="7"/>
      <c r="M56" s="27">
        <v>409430</v>
      </c>
      <c r="N56" s="7"/>
      <c r="O56" s="151"/>
      <c r="T56" s="82"/>
    </row>
    <row r="57" spans="1:20" ht="15" x14ac:dyDescent="0.2">
      <c r="A57" s="7"/>
      <c r="B57" s="7"/>
      <c r="C57" s="12"/>
      <c r="D57" s="7"/>
      <c r="E57" s="36"/>
      <c r="F57" s="7"/>
      <c r="G57" s="12"/>
      <c r="H57" s="7"/>
      <c r="I57" s="12"/>
      <c r="J57" s="7"/>
      <c r="K57" s="12"/>
      <c r="L57" s="7"/>
      <c r="M57" s="35"/>
      <c r="N57" s="7"/>
      <c r="O57" s="7"/>
      <c r="T57" s="82"/>
    </row>
    <row r="58" spans="1:20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  <c r="T58" s="82"/>
    </row>
    <row r="59" spans="1:20" ht="1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35"/>
      <c r="N59" s="7"/>
      <c r="O59" s="7"/>
      <c r="T59" s="82"/>
    </row>
    <row r="60" spans="1:20" ht="1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37">
        <v>456790</v>
      </c>
      <c r="N60" s="7"/>
      <c r="O60" s="7"/>
      <c r="T60" s="82"/>
    </row>
    <row r="61" spans="1:20" ht="1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35"/>
      <c r="N61" s="7"/>
      <c r="O61" s="7"/>
      <c r="T61" s="82"/>
    </row>
    <row r="62" spans="1:20" ht="15" x14ac:dyDescent="0.2">
      <c r="A62" s="7"/>
      <c r="B62" s="7"/>
      <c r="C62" s="7" t="s">
        <v>77</v>
      </c>
      <c r="D62" s="7"/>
      <c r="E62" s="7"/>
      <c r="F62" s="7"/>
      <c r="G62" s="7"/>
      <c r="H62" s="7"/>
      <c r="I62" s="7"/>
      <c r="J62" s="7"/>
      <c r="K62" s="7"/>
      <c r="L62" s="7"/>
      <c r="M62" s="27">
        <v>363036.23499999999</v>
      </c>
      <c r="N62" s="7"/>
      <c r="O62" s="7"/>
      <c r="T62" s="82"/>
    </row>
    <row r="63" spans="1:20" ht="16.5" thickBo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8">
        <v>819826.23499999999</v>
      </c>
      <c r="N63" s="7"/>
      <c r="O63" s="39">
        <v>819826.23499999999</v>
      </c>
      <c r="T63" s="82"/>
    </row>
    <row r="64" spans="1:20" ht="16.5" thickTop="1" thickBo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6" ht="16.5" thickBot="1" x14ac:dyDescent="0.3">
      <c r="A65" s="7"/>
      <c r="B65" s="7"/>
      <c r="C65" s="8" t="s">
        <v>78</v>
      </c>
      <c r="D65" s="8"/>
      <c r="E65" s="7"/>
      <c r="F65" s="7"/>
      <c r="G65" s="7"/>
      <c r="H65" s="7"/>
      <c r="I65" s="7"/>
      <c r="J65" s="7"/>
      <c r="K65" s="7"/>
      <c r="L65" s="7"/>
      <c r="M65" s="7"/>
      <c r="N65" s="7"/>
      <c r="O65" s="40">
        <v>7160719.0833622748</v>
      </c>
    </row>
    <row r="66" spans="1:16" ht="15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6" ht="15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9" spans="1:16" x14ac:dyDescent="0.2">
      <c r="P69" s="3"/>
    </row>
  </sheetData>
  <phoneticPr fontId="0" type="noConversion"/>
  <pageMargins left="0.75" right="0.75" top="1" bottom="1" header="0.5" footer="0.5"/>
  <pageSetup paperSize="9" scale="58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A1:R67"/>
  <sheetViews>
    <sheetView zoomScale="80" zoomScaleNormal="80" workbookViewId="0">
      <selection activeCell="Q32" sqref="Q32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" width="9.140625" style="1"/>
    <col min="17" max="17" width="9.140625" style="1" customWidth="1"/>
    <col min="18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8</v>
      </c>
      <c r="D15" s="7"/>
      <c r="E15" s="17">
        <v>3516.6354325009966</v>
      </c>
      <c r="F15" s="7"/>
      <c r="G15" s="18"/>
      <c r="H15" s="7"/>
      <c r="I15" s="19">
        <v>110</v>
      </c>
      <c r="J15" s="7"/>
      <c r="K15" s="20"/>
      <c r="L15" s="7"/>
      <c r="M15" s="21">
        <v>386829.89757510961</v>
      </c>
      <c r="N15" s="7"/>
      <c r="O15" s="7"/>
    </row>
    <row r="16" spans="1:15" ht="15" x14ac:dyDescent="0.2">
      <c r="A16" s="7"/>
      <c r="B16" s="7"/>
      <c r="C16" s="16" t="s">
        <v>9</v>
      </c>
      <c r="D16" s="7"/>
      <c r="E16" s="17">
        <v>3554.4609973218712</v>
      </c>
      <c r="F16" s="7"/>
      <c r="G16" s="18"/>
      <c r="H16" s="7"/>
      <c r="I16" s="19">
        <v>115</v>
      </c>
      <c r="J16" s="7"/>
      <c r="K16" s="20"/>
      <c r="L16" s="7"/>
      <c r="M16" s="21">
        <v>408763.01469201519</v>
      </c>
      <c r="N16" s="7"/>
      <c r="O16" s="7"/>
    </row>
    <row r="17" spans="1:18" ht="15" x14ac:dyDescent="0.2">
      <c r="A17" s="7"/>
      <c r="B17" s="7"/>
      <c r="C17" s="16" t="s">
        <v>10</v>
      </c>
      <c r="D17" s="7"/>
      <c r="E17" s="17">
        <v>3569.591223250221</v>
      </c>
      <c r="F17" s="7"/>
      <c r="G17" s="18"/>
      <c r="H17" s="7"/>
      <c r="I17" s="19">
        <v>104</v>
      </c>
      <c r="J17" s="7"/>
      <c r="K17" s="20"/>
      <c r="L17" s="7"/>
      <c r="M17" s="21">
        <v>371237.48721802299</v>
      </c>
      <c r="N17" s="7"/>
      <c r="O17" s="7"/>
    </row>
    <row r="18" spans="1:18" ht="15" x14ac:dyDescent="0.2">
      <c r="A18" s="7"/>
      <c r="B18" s="7"/>
      <c r="C18" s="22" t="s">
        <v>11</v>
      </c>
      <c r="D18" s="7"/>
      <c r="E18" s="17">
        <v>3930.5048933850489</v>
      </c>
      <c r="F18" s="7"/>
      <c r="G18" s="18"/>
      <c r="H18" s="7"/>
      <c r="I18" s="19">
        <v>116</v>
      </c>
      <c r="J18" s="7"/>
      <c r="K18" s="20"/>
      <c r="L18" s="7"/>
      <c r="M18" s="21">
        <v>455938.56763266568</v>
      </c>
      <c r="N18" s="7"/>
      <c r="O18" s="7"/>
    </row>
    <row r="19" spans="1:18" ht="15" x14ac:dyDescent="0.2">
      <c r="A19" s="7"/>
      <c r="B19" s="7"/>
      <c r="C19" s="22" t="s">
        <v>12</v>
      </c>
      <c r="D19" s="7"/>
      <c r="E19" s="17">
        <v>4298.4129394210549</v>
      </c>
      <c r="F19" s="7"/>
      <c r="G19" s="18"/>
      <c r="H19" s="7"/>
      <c r="I19" s="19">
        <v>123</v>
      </c>
      <c r="J19" s="7"/>
      <c r="K19" s="20"/>
      <c r="L19" s="7"/>
      <c r="M19" s="21">
        <v>528704.79154878971</v>
      </c>
      <c r="N19" s="7"/>
      <c r="O19" s="7"/>
    </row>
    <row r="20" spans="1:18" ht="15" x14ac:dyDescent="0.2">
      <c r="A20" s="7"/>
      <c r="B20" s="7"/>
      <c r="C20" s="7"/>
      <c r="D20" s="7"/>
      <c r="E20" s="7"/>
      <c r="F20" s="7"/>
      <c r="G20" s="9"/>
      <c r="H20" s="7"/>
      <c r="I20" s="7"/>
      <c r="J20" s="7"/>
      <c r="K20" s="9"/>
      <c r="L20" s="7"/>
      <c r="M20" s="23"/>
      <c r="N20" s="7"/>
      <c r="O20" s="7"/>
    </row>
    <row r="21" spans="1:18" ht="16.5" thickBot="1" x14ac:dyDescent="0.3">
      <c r="A21" s="7"/>
      <c r="B21" s="7"/>
      <c r="C21" s="7"/>
      <c r="D21" s="7"/>
      <c r="E21" s="7"/>
      <c r="F21" s="7"/>
      <c r="G21" s="18"/>
      <c r="H21" s="7"/>
      <c r="I21" s="24">
        <v>568</v>
      </c>
      <c r="J21" s="7"/>
      <c r="K21" s="20"/>
      <c r="L21" s="7"/>
      <c r="M21" s="25">
        <v>2151473.7586666029</v>
      </c>
      <c r="N21" s="7"/>
      <c r="O21" s="26">
        <v>2151473.7586666029</v>
      </c>
    </row>
    <row r="22" spans="1:18" ht="15.75" thickTop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9"/>
      <c r="L22" s="7"/>
      <c r="M22" s="7"/>
      <c r="N22" s="7"/>
      <c r="O22" s="7"/>
    </row>
    <row r="23" spans="1:18" ht="15.75" x14ac:dyDescent="0.25">
      <c r="A23" s="7"/>
      <c r="B23" s="8" t="s">
        <v>65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8" ht="15.75" x14ac:dyDescent="0.25">
      <c r="A24" s="7"/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8" ht="15" x14ac:dyDescent="0.2">
      <c r="A25" s="7"/>
      <c r="B25" s="7"/>
      <c r="C25" s="7"/>
      <c r="D25" s="7"/>
      <c r="E25" s="7" t="s">
        <v>49</v>
      </c>
      <c r="F25" s="7"/>
      <c r="G25" s="7"/>
      <c r="H25" s="7"/>
      <c r="I25" s="7"/>
      <c r="J25" s="7"/>
      <c r="K25" s="7"/>
      <c r="L25" s="7"/>
      <c r="M25" s="27">
        <v>40297.188688813338</v>
      </c>
      <c r="N25" s="7"/>
      <c r="O25" s="7"/>
      <c r="R25" s="335"/>
    </row>
    <row r="26" spans="1:18" ht="15" x14ac:dyDescent="0.2">
      <c r="A26" s="7"/>
      <c r="B26" s="7"/>
      <c r="C26" s="7"/>
      <c r="D26" s="7"/>
      <c r="E26" s="7" t="s">
        <v>66</v>
      </c>
      <c r="F26" s="7"/>
      <c r="G26" s="7"/>
      <c r="H26" s="7"/>
      <c r="I26" s="7"/>
      <c r="J26" s="7"/>
      <c r="K26" s="7"/>
      <c r="L26" s="7"/>
      <c r="M26" s="27">
        <v>55558.405979999996</v>
      </c>
      <c r="N26" s="7"/>
      <c r="O26" s="7"/>
      <c r="R26" s="335"/>
    </row>
    <row r="27" spans="1:18" ht="15" x14ac:dyDescent="0.2">
      <c r="A27" s="7"/>
      <c r="B27" s="7"/>
      <c r="C27" s="7"/>
      <c r="D27" s="7"/>
      <c r="E27" s="7" t="s">
        <v>53</v>
      </c>
      <c r="F27" s="7"/>
      <c r="G27" s="7"/>
      <c r="H27" s="7"/>
      <c r="I27" s="7"/>
      <c r="J27" s="7"/>
      <c r="K27" s="7"/>
      <c r="L27" s="7"/>
      <c r="M27" s="27">
        <v>94278.853762659332</v>
      </c>
      <c r="N27" s="7"/>
      <c r="O27" s="7"/>
      <c r="R27" s="335"/>
    </row>
    <row r="28" spans="1:18" ht="15" x14ac:dyDescent="0.2">
      <c r="A28" s="7"/>
      <c r="B28" s="7"/>
      <c r="C28" s="7"/>
      <c r="D28" s="7"/>
      <c r="E28" s="7" t="s">
        <v>50</v>
      </c>
      <c r="F28" s="7"/>
      <c r="G28" s="7"/>
      <c r="H28" s="7"/>
      <c r="I28" s="7"/>
      <c r="J28" s="7"/>
      <c r="K28" s="7"/>
      <c r="L28" s="7"/>
      <c r="M28" s="27">
        <v>107596.44473951915</v>
      </c>
      <c r="N28" s="7"/>
      <c r="O28" s="7"/>
      <c r="R28" s="335"/>
    </row>
    <row r="29" spans="1:18" ht="15" x14ac:dyDescent="0.2">
      <c r="A29" s="7"/>
      <c r="B29" s="7"/>
      <c r="C29" s="7"/>
      <c r="D29" s="7"/>
      <c r="E29" s="7" t="s">
        <v>54</v>
      </c>
      <c r="F29" s="7"/>
      <c r="G29" s="7"/>
      <c r="H29" s="7"/>
      <c r="I29" s="7"/>
      <c r="J29" s="7"/>
      <c r="K29" s="7"/>
      <c r="L29" s="7"/>
      <c r="M29" s="27">
        <v>124655</v>
      </c>
      <c r="N29" s="7"/>
      <c r="O29" s="7"/>
      <c r="R29" s="335"/>
    </row>
    <row r="30" spans="1:18" ht="15" x14ac:dyDescent="0.2">
      <c r="A30" s="7"/>
      <c r="B30" s="7"/>
      <c r="C30" s="7"/>
      <c r="D30" s="7"/>
      <c r="E30" s="7" t="s">
        <v>51</v>
      </c>
      <c r="F30" s="7"/>
      <c r="G30" s="7"/>
      <c r="H30" s="7"/>
      <c r="I30" s="7"/>
      <c r="J30" s="7"/>
      <c r="K30" s="7"/>
      <c r="L30" s="7"/>
      <c r="M30" s="27">
        <v>27883.439358864845</v>
      </c>
      <c r="N30" s="7"/>
      <c r="O30" s="7"/>
      <c r="R30" s="335"/>
    </row>
    <row r="31" spans="1:18" ht="1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27"/>
      <c r="N31" s="7"/>
      <c r="O31" s="7"/>
      <c r="R31" s="335"/>
    </row>
    <row r="32" spans="1:18" ht="15" x14ac:dyDescent="0.2">
      <c r="A32" s="7"/>
      <c r="B32" s="7"/>
      <c r="C32" s="7"/>
      <c r="D32" s="7"/>
      <c r="E32" s="7" t="s">
        <v>67</v>
      </c>
      <c r="F32" s="7"/>
      <c r="G32" s="7"/>
      <c r="H32" s="7"/>
      <c r="I32" s="7"/>
      <c r="J32" s="7"/>
      <c r="K32" s="7"/>
      <c r="L32" s="7"/>
      <c r="M32" s="27">
        <v>1568</v>
      </c>
      <c r="N32" s="7"/>
      <c r="O32" s="7"/>
      <c r="R32" s="335"/>
    </row>
    <row r="33" spans="1:18" ht="15" x14ac:dyDescent="0.2">
      <c r="A33" s="7"/>
      <c r="B33" s="7"/>
      <c r="C33" s="7"/>
      <c r="D33" s="7"/>
      <c r="E33" s="7" t="s">
        <v>68</v>
      </c>
      <c r="F33" s="7"/>
      <c r="G33" s="7"/>
      <c r="H33" s="7"/>
      <c r="I33" s="7"/>
      <c r="J33" s="7"/>
      <c r="K33" s="7"/>
      <c r="L33" s="7"/>
      <c r="M33" s="27">
        <v>3168.2122187499995</v>
      </c>
      <c r="N33" s="7"/>
      <c r="O33" s="7"/>
      <c r="R33" s="335"/>
    </row>
    <row r="34" spans="1:18" ht="15" x14ac:dyDescent="0.2">
      <c r="A34" s="7"/>
      <c r="B34" s="7"/>
      <c r="C34" s="7"/>
      <c r="D34" s="7"/>
      <c r="E34" s="28" t="s">
        <v>69</v>
      </c>
      <c r="F34" s="7"/>
      <c r="G34" s="7"/>
      <c r="H34" s="7"/>
      <c r="I34" s="7"/>
      <c r="J34" s="7"/>
      <c r="K34" s="7"/>
      <c r="L34" s="7"/>
      <c r="M34" s="27">
        <v>13750</v>
      </c>
      <c r="N34" s="7"/>
      <c r="O34" s="7"/>
      <c r="R34" s="335"/>
    </row>
    <row r="35" spans="1:18" ht="15" x14ac:dyDescent="0.2">
      <c r="A35" s="7"/>
      <c r="B35" s="7"/>
      <c r="C35" s="7"/>
      <c r="D35" s="7"/>
      <c r="E35" s="29" t="s">
        <v>786</v>
      </c>
      <c r="F35" s="7"/>
      <c r="G35" s="7"/>
      <c r="H35" s="7"/>
      <c r="I35" s="7"/>
      <c r="J35" s="7"/>
      <c r="K35" s="7"/>
      <c r="L35" s="7"/>
      <c r="M35" s="27">
        <v>16710.560000000001</v>
      </c>
      <c r="N35" s="7"/>
      <c r="O35" s="7"/>
      <c r="R35" s="335"/>
    </row>
    <row r="36" spans="1:18" ht="15" x14ac:dyDescent="0.2">
      <c r="A36" s="7"/>
      <c r="B36" s="7"/>
      <c r="C36" s="7"/>
      <c r="D36" s="7"/>
      <c r="E36" s="7" t="s">
        <v>70</v>
      </c>
      <c r="F36" s="7"/>
      <c r="G36" s="7"/>
      <c r="H36" s="7"/>
      <c r="I36" s="7"/>
      <c r="J36" s="7"/>
      <c r="K36" s="7"/>
      <c r="L36" s="7"/>
      <c r="M36" s="27">
        <v>3000</v>
      </c>
      <c r="N36" s="7"/>
      <c r="O36" s="7"/>
      <c r="R36" s="335"/>
    </row>
    <row r="37" spans="1:18" ht="15" x14ac:dyDescent="0.2">
      <c r="A37" s="7"/>
      <c r="B37" s="7"/>
      <c r="C37" s="7"/>
      <c r="D37" s="7"/>
      <c r="E37" s="7" t="s">
        <v>71</v>
      </c>
      <c r="F37" s="7"/>
      <c r="G37" s="7"/>
      <c r="H37" s="7"/>
      <c r="I37" s="7"/>
      <c r="J37" s="7"/>
      <c r="K37" s="7"/>
      <c r="L37" s="7"/>
      <c r="M37" s="27">
        <v>7109.6319062499988</v>
      </c>
      <c r="N37" s="7"/>
      <c r="O37" s="7"/>
      <c r="R37" s="335"/>
    </row>
    <row r="38" spans="1:18" ht="15" x14ac:dyDescent="0.2">
      <c r="A38" s="7"/>
      <c r="B38" s="7"/>
      <c r="C38" s="7"/>
      <c r="D38" s="7"/>
      <c r="E38" s="7" t="s">
        <v>72</v>
      </c>
      <c r="F38" s="7"/>
      <c r="G38" s="7"/>
      <c r="H38" s="7"/>
      <c r="I38" s="7"/>
      <c r="J38" s="7"/>
      <c r="K38" s="7"/>
      <c r="L38" s="7"/>
      <c r="M38" s="27">
        <v>63037.499999999985</v>
      </c>
      <c r="N38" s="7"/>
      <c r="O38" s="7"/>
      <c r="R38" s="335"/>
    </row>
    <row r="39" spans="1:18" ht="15" x14ac:dyDescent="0.2">
      <c r="A39" s="7"/>
      <c r="B39" s="7"/>
      <c r="C39" s="7"/>
      <c r="D39" s="7"/>
      <c r="E39" s="7" t="s">
        <v>55</v>
      </c>
      <c r="F39" s="7"/>
      <c r="G39" s="7"/>
      <c r="H39" s="7"/>
      <c r="I39" s="7"/>
      <c r="J39" s="7"/>
      <c r="K39" s="7"/>
      <c r="L39" s="7"/>
      <c r="M39" s="27">
        <v>2282.9026839466787</v>
      </c>
      <c r="N39" s="7"/>
      <c r="O39" s="7"/>
      <c r="R39" s="335"/>
    </row>
    <row r="40" spans="1:18" ht="1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27"/>
      <c r="N40" s="7"/>
      <c r="O40" s="7"/>
      <c r="R40" s="335"/>
    </row>
    <row r="41" spans="1:18" ht="15" x14ac:dyDescent="0.2">
      <c r="A41" s="7"/>
      <c r="B41" s="7"/>
      <c r="C41" s="7"/>
      <c r="D41" s="7"/>
      <c r="E41" s="7" t="s">
        <v>81</v>
      </c>
      <c r="F41" s="7"/>
      <c r="G41" s="7"/>
      <c r="H41" s="7"/>
      <c r="I41" s="7"/>
      <c r="J41" s="7"/>
      <c r="K41" s="7"/>
      <c r="L41" s="7"/>
      <c r="M41" s="27">
        <v>30791.63</v>
      </c>
      <c r="N41" s="7"/>
      <c r="O41" s="7"/>
      <c r="R41" s="335"/>
    </row>
    <row r="42" spans="1:18" ht="15" x14ac:dyDescent="0.2">
      <c r="A42" s="7"/>
      <c r="B42" s="7"/>
      <c r="C42" s="7"/>
      <c r="D42" s="7"/>
      <c r="E42" s="7" t="s">
        <v>79</v>
      </c>
      <c r="F42" s="7"/>
      <c r="G42" s="7"/>
      <c r="H42" s="7"/>
      <c r="I42" s="7"/>
      <c r="J42" s="7"/>
      <c r="K42" s="7"/>
      <c r="L42" s="7"/>
      <c r="M42" s="27">
        <v>0</v>
      </c>
      <c r="N42" s="7"/>
      <c r="O42" s="7"/>
      <c r="R42" s="335"/>
    </row>
    <row r="43" spans="1:18" ht="15" x14ac:dyDescent="0.2">
      <c r="A43" s="7"/>
      <c r="B43" s="7"/>
      <c r="C43" s="7"/>
      <c r="D43" s="7"/>
      <c r="E43" s="7" t="s">
        <v>73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  <c r="R43" s="335"/>
    </row>
    <row r="44" spans="1:18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  <c r="R44" s="335"/>
    </row>
    <row r="45" spans="1:18" ht="15" x14ac:dyDescent="0.2">
      <c r="A45" s="7"/>
      <c r="B45" s="7"/>
      <c r="C45" s="7"/>
      <c r="D45" s="7"/>
      <c r="E45" s="7" t="s">
        <v>74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  <c r="R45" s="335"/>
    </row>
    <row r="46" spans="1:18" ht="15" x14ac:dyDescent="0.2">
      <c r="A46" s="7"/>
      <c r="B46" s="7"/>
      <c r="C46" s="7"/>
      <c r="D46" s="7"/>
      <c r="E46" s="7" t="s">
        <v>75</v>
      </c>
      <c r="F46" s="7"/>
      <c r="G46" s="7"/>
      <c r="H46" s="7"/>
      <c r="I46" s="7"/>
      <c r="J46" s="7"/>
      <c r="K46" s="7"/>
      <c r="L46" s="7"/>
      <c r="M46" s="27">
        <v>294451.21199999994</v>
      </c>
      <c r="N46" s="7"/>
      <c r="O46" s="7"/>
      <c r="R46" s="335"/>
    </row>
    <row r="47" spans="1:18" ht="1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8" ht="16.5" thickBo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30">
        <v>886138.98133880319</v>
      </c>
      <c r="N48" s="7"/>
      <c r="O48" s="31">
        <v>886138.98133880319</v>
      </c>
    </row>
    <row r="49" spans="1:18" ht="16.5" thickTop="1" x14ac:dyDescent="0.25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32"/>
      <c r="N49" s="7"/>
      <c r="O49" s="31"/>
    </row>
    <row r="50" spans="1:18" ht="15.75" x14ac:dyDescent="0.25">
      <c r="A50" s="7"/>
      <c r="B50" s="333" t="s">
        <v>1281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338">
        <v>603513</v>
      </c>
      <c r="N50" s="7"/>
      <c r="O50" s="34">
        <v>603513</v>
      </c>
      <c r="P50" s="340"/>
      <c r="R50" s="96"/>
    </row>
    <row r="51" spans="1:18" ht="15.75" x14ac:dyDescent="0.25">
      <c r="A51" s="7"/>
      <c r="B51" s="333" t="s">
        <v>1282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338">
        <v>25097</v>
      </c>
      <c r="N51" s="7"/>
      <c r="O51" s="34">
        <v>25097</v>
      </c>
      <c r="P51" s="340"/>
      <c r="R51" s="96"/>
    </row>
    <row r="52" spans="1:18" ht="15" x14ac:dyDescent="0.2">
      <c r="A52" s="7"/>
      <c r="B52" s="7"/>
      <c r="C52" s="11"/>
      <c r="D52" s="7"/>
      <c r="E52" s="11"/>
      <c r="F52" s="7"/>
      <c r="G52" s="7"/>
      <c r="H52" s="11"/>
      <c r="I52" s="7"/>
      <c r="J52" s="7"/>
      <c r="K52" s="7"/>
      <c r="L52" s="7"/>
      <c r="M52" s="7"/>
      <c r="N52" s="7"/>
      <c r="O52" s="7"/>
    </row>
    <row r="53" spans="1:18" ht="15.75" x14ac:dyDescent="0.25">
      <c r="A53" s="7"/>
      <c r="B53" s="8" t="s">
        <v>650</v>
      </c>
      <c r="C53" s="7"/>
      <c r="D53" s="7"/>
      <c r="E53" s="11"/>
      <c r="F53" s="7"/>
      <c r="G53" s="11"/>
      <c r="H53" s="7"/>
      <c r="I53" s="11"/>
      <c r="J53" s="7"/>
      <c r="K53" s="11"/>
      <c r="L53" s="7"/>
      <c r="M53" s="12"/>
      <c r="N53" s="7"/>
      <c r="O53" s="7"/>
    </row>
    <row r="54" spans="1:18" ht="15" x14ac:dyDescent="0.2">
      <c r="A54" s="7"/>
      <c r="B54" s="7"/>
      <c r="C54" s="151" t="s">
        <v>1285</v>
      </c>
      <c r="D54" s="7"/>
      <c r="E54" s="11"/>
      <c r="F54" s="7"/>
      <c r="G54" s="7"/>
      <c r="H54" s="7"/>
      <c r="I54" s="7"/>
      <c r="J54" s="7"/>
      <c r="K54" s="7"/>
      <c r="L54" s="7"/>
      <c r="M54" s="27">
        <v>0</v>
      </c>
      <c r="N54" s="7"/>
      <c r="O54" s="7"/>
    </row>
    <row r="55" spans="1:18" ht="15" x14ac:dyDescent="0.2">
      <c r="A55" s="7"/>
      <c r="B55" s="7"/>
      <c r="C55" s="12"/>
      <c r="D55" s="7"/>
      <c r="E55" s="36"/>
      <c r="F55" s="7"/>
      <c r="G55" s="12"/>
      <c r="H55" s="7"/>
      <c r="I55" s="12"/>
      <c r="J55" s="7"/>
      <c r="K55" s="12"/>
      <c r="L55" s="7"/>
      <c r="M55" s="35"/>
      <c r="N55" s="7"/>
      <c r="O55" s="7"/>
    </row>
    <row r="56" spans="1:18" ht="15" x14ac:dyDescent="0.2">
      <c r="A56" s="7"/>
      <c r="B56" s="7"/>
      <c r="C56" s="95" t="s">
        <v>1286</v>
      </c>
      <c r="D56" s="7"/>
      <c r="E56" s="36"/>
      <c r="F56" s="7"/>
      <c r="G56" s="12"/>
      <c r="H56" s="7"/>
      <c r="I56" s="12"/>
      <c r="J56" s="7"/>
      <c r="K56" s="12"/>
      <c r="L56" s="7"/>
      <c r="M56" s="27">
        <v>146219</v>
      </c>
      <c r="N56" s="7"/>
      <c r="O56" s="7"/>
    </row>
    <row r="57" spans="1:18" ht="15" x14ac:dyDescent="0.2">
      <c r="A57" s="7"/>
      <c r="B57" s="7"/>
      <c r="C57" s="12"/>
      <c r="D57" s="7"/>
      <c r="E57" s="36"/>
      <c r="F57" s="7"/>
      <c r="G57" s="12"/>
      <c r="H57" s="7"/>
      <c r="I57" s="12"/>
      <c r="J57" s="7"/>
      <c r="K57" s="12"/>
      <c r="L57" s="7"/>
      <c r="M57" s="35"/>
      <c r="N57" s="7"/>
      <c r="O57" s="7"/>
    </row>
    <row r="58" spans="1:18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8" ht="1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35"/>
      <c r="N59" s="7"/>
      <c r="O59" s="7"/>
    </row>
    <row r="60" spans="1:18" ht="1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37">
        <v>146219</v>
      </c>
      <c r="N60" s="7"/>
      <c r="O60" s="7"/>
    </row>
    <row r="61" spans="1:18" ht="1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35"/>
      <c r="N61" s="7"/>
      <c r="O61" s="7"/>
    </row>
    <row r="62" spans="1:18" ht="15" x14ac:dyDescent="0.2">
      <c r="A62" s="7"/>
      <c r="B62" s="7"/>
      <c r="C62" s="7" t="s">
        <v>77</v>
      </c>
      <c r="D62" s="7"/>
      <c r="E62" s="7"/>
      <c r="F62" s="7"/>
      <c r="G62" s="7"/>
      <c r="H62" s="7"/>
      <c r="I62" s="7"/>
      <c r="J62" s="7"/>
      <c r="K62" s="7"/>
      <c r="L62" s="7"/>
      <c r="M62" s="27">
        <v>0</v>
      </c>
      <c r="N62" s="7"/>
      <c r="O62" s="7"/>
    </row>
    <row r="63" spans="1:18" ht="16.5" thickBo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8">
        <v>146219</v>
      </c>
      <c r="N63" s="7"/>
      <c r="O63" s="39">
        <v>146219</v>
      </c>
    </row>
    <row r="64" spans="1:18" ht="16.5" thickTop="1" thickBo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6.5" thickBot="1" x14ac:dyDescent="0.3">
      <c r="A65" s="7"/>
      <c r="B65" s="7"/>
      <c r="C65" s="8" t="s">
        <v>78</v>
      </c>
      <c r="D65" s="8"/>
      <c r="E65" s="7"/>
      <c r="F65" s="7"/>
      <c r="G65" s="7"/>
      <c r="H65" s="7"/>
      <c r="I65" s="7"/>
      <c r="J65" s="7"/>
      <c r="K65" s="7"/>
      <c r="L65" s="7"/>
      <c r="M65" s="7"/>
      <c r="N65" s="7"/>
      <c r="O65" s="40">
        <v>3812441.7400054061</v>
      </c>
    </row>
    <row r="66" spans="1:15" ht="15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5" x14ac:dyDescent="0.2">
      <c r="A67" s="7"/>
      <c r="B67" s="7"/>
      <c r="C67" s="7"/>
      <c r="D67" s="7"/>
      <c r="E67" s="7"/>
      <c r="F67" s="7"/>
      <c r="G67" s="7"/>
      <c r="H67" s="7"/>
      <c r="I67" s="7"/>
      <c r="J67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pageSetUpPr fitToPage="1"/>
  </sheetPr>
  <dimension ref="A1:U67"/>
  <sheetViews>
    <sheetView zoomScale="80" zoomScaleNormal="80" workbookViewId="0">
      <selection activeCell="Q9" sqref="Q9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8</v>
      </c>
      <c r="D15" s="7"/>
      <c r="E15" s="17">
        <v>3516.6354325009966</v>
      </c>
      <c r="F15" s="7"/>
      <c r="G15" s="18"/>
      <c r="H15" s="7"/>
      <c r="I15" s="19">
        <v>200</v>
      </c>
      <c r="J15" s="7"/>
      <c r="K15" s="20"/>
      <c r="L15" s="7"/>
      <c r="M15" s="21">
        <v>703327.08650019928</v>
      </c>
      <c r="N15" s="7"/>
      <c r="O15" s="7"/>
    </row>
    <row r="16" spans="1:15" ht="15" x14ac:dyDescent="0.2">
      <c r="A16" s="7"/>
      <c r="B16" s="7"/>
      <c r="C16" s="16" t="s">
        <v>9</v>
      </c>
      <c r="D16" s="7"/>
      <c r="E16" s="17">
        <v>3554.4609973218712</v>
      </c>
      <c r="F16" s="7"/>
      <c r="G16" s="18"/>
      <c r="H16" s="7"/>
      <c r="I16" s="19">
        <v>198</v>
      </c>
      <c r="J16" s="7"/>
      <c r="K16" s="20"/>
      <c r="L16" s="7"/>
      <c r="M16" s="21">
        <v>703783.27746973047</v>
      </c>
      <c r="N16" s="7"/>
      <c r="O16" s="7"/>
    </row>
    <row r="17" spans="1:21" ht="15" x14ac:dyDescent="0.2">
      <c r="A17" s="7"/>
      <c r="B17" s="7"/>
      <c r="C17" s="16" t="s">
        <v>10</v>
      </c>
      <c r="D17" s="7"/>
      <c r="E17" s="17">
        <v>3569.591223250221</v>
      </c>
      <c r="F17" s="7"/>
      <c r="G17" s="18"/>
      <c r="H17" s="7"/>
      <c r="I17" s="19">
        <v>183</v>
      </c>
      <c r="J17" s="7"/>
      <c r="K17" s="20"/>
      <c r="L17" s="7"/>
      <c r="M17" s="21">
        <v>653235.19385479041</v>
      </c>
      <c r="N17" s="7"/>
      <c r="O17" s="7"/>
    </row>
    <row r="18" spans="1:21" ht="15" x14ac:dyDescent="0.2">
      <c r="A18" s="7"/>
      <c r="B18" s="7"/>
      <c r="C18" s="22" t="s">
        <v>11</v>
      </c>
      <c r="D18" s="7"/>
      <c r="E18" s="17">
        <v>3930.5048933850489</v>
      </c>
      <c r="F18" s="7"/>
      <c r="G18" s="18"/>
      <c r="H18" s="7"/>
      <c r="I18" s="19">
        <v>164</v>
      </c>
      <c r="J18" s="7"/>
      <c r="K18" s="20"/>
      <c r="L18" s="7"/>
      <c r="M18" s="21">
        <v>644602.80251514807</v>
      </c>
      <c r="N18" s="7"/>
      <c r="O18" s="7"/>
    </row>
    <row r="19" spans="1:21" ht="15" x14ac:dyDescent="0.2">
      <c r="A19" s="7"/>
      <c r="B19" s="7"/>
      <c r="C19" s="22" t="s">
        <v>12</v>
      </c>
      <c r="D19" s="7"/>
      <c r="E19" s="17">
        <v>4298.4129394210549</v>
      </c>
      <c r="F19" s="7"/>
      <c r="G19" s="18"/>
      <c r="H19" s="7"/>
      <c r="I19" s="19">
        <v>180</v>
      </c>
      <c r="J19" s="7"/>
      <c r="K19" s="20"/>
      <c r="L19" s="7"/>
      <c r="M19" s="21">
        <v>773714.32909578993</v>
      </c>
      <c r="N19" s="7"/>
      <c r="O19" s="7"/>
    </row>
    <row r="20" spans="1:21" ht="15" x14ac:dyDescent="0.2">
      <c r="A20" s="7"/>
      <c r="B20" s="7"/>
      <c r="C20" s="7"/>
      <c r="D20" s="7"/>
      <c r="E20" s="7"/>
      <c r="F20" s="7"/>
      <c r="G20" s="9"/>
      <c r="H20" s="7"/>
      <c r="I20" s="7"/>
      <c r="J20" s="7"/>
      <c r="K20" s="9"/>
      <c r="L20" s="7"/>
      <c r="M20" s="23"/>
      <c r="N20" s="7"/>
      <c r="O20" s="7"/>
    </row>
    <row r="21" spans="1:21" ht="16.5" thickBot="1" x14ac:dyDescent="0.3">
      <c r="A21" s="7"/>
      <c r="B21" s="7"/>
      <c r="C21" s="7"/>
      <c r="D21" s="7"/>
      <c r="E21" s="7"/>
      <c r="F21" s="7"/>
      <c r="G21" s="18"/>
      <c r="H21" s="7"/>
      <c r="I21" s="24">
        <v>925</v>
      </c>
      <c r="J21" s="7"/>
      <c r="K21" s="20"/>
      <c r="L21" s="7"/>
      <c r="M21" s="25">
        <v>3478662.689435658</v>
      </c>
      <c r="N21" s="7"/>
      <c r="O21" s="26">
        <v>3478662.689435658</v>
      </c>
    </row>
    <row r="22" spans="1:21" ht="15.75" thickTop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9"/>
      <c r="L22" s="7"/>
      <c r="M22" s="7"/>
      <c r="N22" s="7"/>
      <c r="O22" s="7"/>
    </row>
    <row r="23" spans="1:21" ht="15.75" x14ac:dyDescent="0.25">
      <c r="A23" s="7"/>
      <c r="B23" s="8" t="s">
        <v>65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21" ht="15.75" x14ac:dyDescent="0.25">
      <c r="A24" s="7"/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21" ht="15" x14ac:dyDescent="0.2">
      <c r="A25" s="7"/>
      <c r="B25" s="7"/>
      <c r="C25" s="7"/>
      <c r="D25" s="7"/>
      <c r="E25" s="7" t="s">
        <v>49</v>
      </c>
      <c r="F25" s="7"/>
      <c r="G25" s="7"/>
      <c r="H25" s="7"/>
      <c r="I25" s="7"/>
      <c r="J25" s="7"/>
      <c r="K25" s="7"/>
      <c r="L25" s="7"/>
      <c r="M25" s="27">
        <v>42060.277751477195</v>
      </c>
      <c r="N25" s="7"/>
      <c r="O25" s="7"/>
      <c r="Q25" s="150"/>
      <c r="R25" s="82"/>
      <c r="U25" s="82"/>
    </row>
    <row r="26" spans="1:21" ht="15" x14ac:dyDescent="0.2">
      <c r="A26" s="7"/>
      <c r="B26" s="7"/>
      <c r="C26" s="7"/>
      <c r="D26" s="7"/>
      <c r="E26" s="7" t="s">
        <v>66</v>
      </c>
      <c r="F26" s="7"/>
      <c r="G26" s="7"/>
      <c r="H26" s="7"/>
      <c r="I26" s="7"/>
      <c r="J26" s="7"/>
      <c r="K26" s="7"/>
      <c r="L26" s="7"/>
      <c r="M26" s="27">
        <v>55558.405979999996</v>
      </c>
      <c r="N26" s="7"/>
      <c r="O26" s="7"/>
      <c r="Q26" s="150"/>
      <c r="R26" s="82"/>
      <c r="U26" s="82"/>
    </row>
    <row r="27" spans="1:21" ht="15" x14ac:dyDescent="0.2">
      <c r="A27" s="7"/>
      <c r="B27" s="7"/>
      <c r="C27" s="7"/>
      <c r="D27" s="7"/>
      <c r="E27" s="7" t="s">
        <v>53</v>
      </c>
      <c r="F27" s="7"/>
      <c r="G27" s="7"/>
      <c r="H27" s="7"/>
      <c r="I27" s="7"/>
      <c r="J27" s="7"/>
      <c r="K27" s="7"/>
      <c r="L27" s="7"/>
      <c r="M27" s="27">
        <v>98403.757293599047</v>
      </c>
      <c r="N27" s="7"/>
      <c r="O27" s="7"/>
      <c r="Q27" s="150"/>
      <c r="R27" s="82"/>
      <c r="U27" s="82"/>
    </row>
    <row r="28" spans="1:21" ht="15" x14ac:dyDescent="0.2">
      <c r="A28" s="7"/>
      <c r="B28" s="7"/>
      <c r="C28" s="7"/>
      <c r="D28" s="7"/>
      <c r="E28" s="7" t="s">
        <v>50</v>
      </c>
      <c r="F28" s="7"/>
      <c r="G28" s="7"/>
      <c r="H28" s="7"/>
      <c r="I28" s="7"/>
      <c r="J28" s="7"/>
      <c r="K28" s="7"/>
      <c r="L28" s="7"/>
      <c r="M28" s="27">
        <v>112304.02164684878</v>
      </c>
      <c r="N28" s="7"/>
      <c r="O28" s="7"/>
      <c r="Q28" s="150"/>
      <c r="R28" s="82"/>
      <c r="U28" s="82"/>
    </row>
    <row r="29" spans="1:21" ht="15" x14ac:dyDescent="0.2">
      <c r="A29" s="7"/>
      <c r="B29" s="7"/>
      <c r="C29" s="7"/>
      <c r="D29" s="7"/>
      <c r="E29" s="7" t="s">
        <v>54</v>
      </c>
      <c r="F29" s="7"/>
      <c r="G29" s="7"/>
      <c r="H29" s="7"/>
      <c r="I29" s="7"/>
      <c r="J29" s="7"/>
      <c r="K29" s="7"/>
      <c r="L29" s="7"/>
      <c r="M29" s="27">
        <v>118770</v>
      </c>
      <c r="N29" s="7"/>
      <c r="O29" s="7"/>
      <c r="Q29" s="150"/>
      <c r="R29" s="82"/>
      <c r="U29" s="82"/>
    </row>
    <row r="30" spans="1:21" ht="15" x14ac:dyDescent="0.2">
      <c r="A30" s="7"/>
      <c r="B30" s="7"/>
      <c r="C30" s="7"/>
      <c r="D30" s="7"/>
      <c r="E30" s="7" t="s">
        <v>51</v>
      </c>
      <c r="F30" s="7"/>
      <c r="G30" s="7"/>
      <c r="H30" s="7"/>
      <c r="I30" s="7"/>
      <c r="J30" s="7"/>
      <c r="K30" s="7"/>
      <c r="L30" s="7"/>
      <c r="M30" s="27">
        <v>36512.096411371749</v>
      </c>
      <c r="N30" s="7"/>
      <c r="O30" s="7"/>
      <c r="Q30" s="150"/>
      <c r="R30" s="82"/>
      <c r="U30" s="82"/>
    </row>
    <row r="31" spans="1:21" ht="1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27"/>
      <c r="N31" s="7"/>
      <c r="O31" s="7"/>
      <c r="Q31" s="150"/>
      <c r="R31" s="82"/>
      <c r="U31" s="82"/>
    </row>
    <row r="32" spans="1:21" ht="15" x14ac:dyDescent="0.2">
      <c r="A32" s="7"/>
      <c r="B32" s="7"/>
      <c r="C32" s="7"/>
      <c r="D32" s="7"/>
      <c r="E32" s="7" t="s">
        <v>67</v>
      </c>
      <c r="F32" s="7"/>
      <c r="G32" s="7"/>
      <c r="H32" s="7"/>
      <c r="I32" s="7"/>
      <c r="J32" s="7"/>
      <c r="K32" s="7"/>
      <c r="L32" s="7"/>
      <c r="M32" s="27">
        <v>1568</v>
      </c>
      <c r="N32" s="7"/>
      <c r="O32" s="7"/>
      <c r="Q32" s="150"/>
      <c r="R32" s="82"/>
      <c r="U32" s="82"/>
    </row>
    <row r="33" spans="1:21" ht="15" x14ac:dyDescent="0.2">
      <c r="A33" s="7"/>
      <c r="B33" s="7"/>
      <c r="C33" s="7"/>
      <c r="D33" s="7"/>
      <c r="E33" s="7" t="s">
        <v>68</v>
      </c>
      <c r="F33" s="7"/>
      <c r="G33" s="7"/>
      <c r="H33" s="7"/>
      <c r="I33" s="7"/>
      <c r="J33" s="7"/>
      <c r="K33" s="7"/>
      <c r="L33" s="7"/>
      <c r="M33" s="27">
        <v>3168.2122187499995</v>
      </c>
      <c r="N33" s="7"/>
      <c r="O33" s="7"/>
      <c r="Q33" s="150"/>
      <c r="R33" s="82"/>
      <c r="U33" s="82"/>
    </row>
    <row r="34" spans="1:21" ht="15" x14ac:dyDescent="0.2">
      <c r="A34" s="7"/>
      <c r="B34" s="7"/>
      <c r="C34" s="7"/>
      <c r="D34" s="7"/>
      <c r="E34" s="28" t="s">
        <v>69</v>
      </c>
      <c r="F34" s="7"/>
      <c r="G34" s="7"/>
      <c r="H34" s="7"/>
      <c r="I34" s="7"/>
      <c r="J34" s="7"/>
      <c r="K34" s="7"/>
      <c r="L34" s="7"/>
      <c r="M34" s="27">
        <v>13750</v>
      </c>
      <c r="N34" s="7"/>
      <c r="O34" s="7"/>
      <c r="Q34" s="150"/>
      <c r="R34" s="82"/>
      <c r="U34" s="82"/>
    </row>
    <row r="35" spans="1:21" ht="15" x14ac:dyDescent="0.2">
      <c r="A35" s="7"/>
      <c r="B35" s="7"/>
      <c r="C35" s="7"/>
      <c r="D35" s="7"/>
      <c r="E35" s="29" t="s">
        <v>786</v>
      </c>
      <c r="F35" s="7"/>
      <c r="G35" s="7"/>
      <c r="H35" s="7"/>
      <c r="I35" s="7"/>
      <c r="J35" s="7"/>
      <c r="K35" s="7"/>
      <c r="L35" s="7"/>
      <c r="M35" s="27">
        <v>27213.5</v>
      </c>
      <c r="N35" s="7"/>
      <c r="O35" s="7"/>
      <c r="Q35" s="150"/>
      <c r="R35" s="82"/>
      <c r="U35" s="82"/>
    </row>
    <row r="36" spans="1:21" ht="15" x14ac:dyDescent="0.2">
      <c r="A36" s="7"/>
      <c r="B36" s="7"/>
      <c r="C36" s="7"/>
      <c r="D36" s="7"/>
      <c r="E36" s="7" t="s">
        <v>70</v>
      </c>
      <c r="F36" s="7"/>
      <c r="G36" s="7"/>
      <c r="H36" s="7"/>
      <c r="I36" s="7"/>
      <c r="J36" s="7"/>
      <c r="K36" s="7"/>
      <c r="L36" s="7"/>
      <c r="M36" s="27">
        <v>4000</v>
      </c>
      <c r="N36" s="7"/>
      <c r="O36" s="7"/>
      <c r="Q36" s="150"/>
      <c r="R36" s="82"/>
      <c r="U36" s="82"/>
    </row>
    <row r="37" spans="1:21" ht="15" x14ac:dyDescent="0.2">
      <c r="A37" s="7"/>
      <c r="B37" s="7"/>
      <c r="C37" s="7"/>
      <c r="D37" s="7"/>
      <c r="E37" s="7" t="s">
        <v>71</v>
      </c>
      <c r="F37" s="7"/>
      <c r="G37" s="7"/>
      <c r="H37" s="7"/>
      <c r="I37" s="7"/>
      <c r="J37" s="7"/>
      <c r="K37" s="7"/>
      <c r="L37" s="7"/>
      <c r="M37" s="27">
        <v>7109.6319062499988</v>
      </c>
      <c r="N37" s="7"/>
      <c r="O37" s="7"/>
      <c r="Q37" s="150"/>
      <c r="R37" s="82"/>
      <c r="U37" s="82"/>
    </row>
    <row r="38" spans="1:21" ht="15" x14ac:dyDescent="0.2">
      <c r="A38" s="7"/>
      <c r="B38" s="7"/>
      <c r="C38" s="7"/>
      <c r="D38" s="7"/>
      <c r="E38" s="7" t="s">
        <v>72</v>
      </c>
      <c r="F38" s="7"/>
      <c r="G38" s="7"/>
      <c r="H38" s="7"/>
      <c r="I38" s="7"/>
      <c r="J38" s="7"/>
      <c r="K38" s="7"/>
      <c r="L38" s="7"/>
      <c r="M38" s="27">
        <v>63037.499999999985</v>
      </c>
      <c r="N38" s="7"/>
      <c r="O38" s="7"/>
      <c r="Q38" s="150"/>
      <c r="R38" s="82"/>
      <c r="U38" s="82"/>
    </row>
    <row r="39" spans="1:21" ht="15" x14ac:dyDescent="0.2">
      <c r="A39" s="7"/>
      <c r="B39" s="7"/>
      <c r="C39" s="7"/>
      <c r="D39" s="7"/>
      <c r="E39" s="7" t="s">
        <v>55</v>
      </c>
      <c r="F39" s="7"/>
      <c r="G39" s="7"/>
      <c r="H39" s="7"/>
      <c r="I39" s="7"/>
      <c r="J39" s="7"/>
      <c r="K39" s="7"/>
      <c r="L39" s="7"/>
      <c r="M39" s="27">
        <v>2282.9026839466787</v>
      </c>
      <c r="N39" s="7"/>
      <c r="O39" s="7"/>
      <c r="Q39" s="150"/>
      <c r="R39" s="82"/>
      <c r="U39" s="82"/>
    </row>
    <row r="40" spans="1:21" ht="1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27"/>
      <c r="N40" s="7"/>
      <c r="O40" s="7"/>
      <c r="Q40" s="150"/>
      <c r="R40" s="82"/>
      <c r="U40" s="82"/>
    </row>
    <row r="41" spans="1:21" ht="15" x14ac:dyDescent="0.2">
      <c r="A41" s="7"/>
      <c r="B41" s="7"/>
      <c r="C41" s="7"/>
      <c r="D41" s="7"/>
      <c r="E41" s="7" t="s">
        <v>81</v>
      </c>
      <c r="F41" s="7"/>
      <c r="G41" s="7"/>
      <c r="H41" s="7"/>
      <c r="I41" s="7"/>
      <c r="J41" s="7"/>
      <c r="K41" s="7"/>
      <c r="L41" s="7"/>
      <c r="M41" s="27">
        <v>9183.9399999999987</v>
      </c>
      <c r="N41" s="7"/>
      <c r="O41" s="7"/>
      <c r="Q41" s="150"/>
      <c r="R41" s="82"/>
      <c r="U41" s="82"/>
    </row>
    <row r="42" spans="1:21" ht="15" x14ac:dyDescent="0.2">
      <c r="A42" s="7"/>
      <c r="B42" s="7"/>
      <c r="C42" s="7"/>
      <c r="D42" s="7"/>
      <c r="E42" s="7" t="s">
        <v>79</v>
      </c>
      <c r="F42" s="7"/>
      <c r="G42" s="7"/>
      <c r="H42" s="7"/>
      <c r="I42" s="7"/>
      <c r="J42" s="7"/>
      <c r="K42" s="7"/>
      <c r="L42" s="7"/>
      <c r="M42" s="27">
        <v>1730.4347826086955</v>
      </c>
      <c r="N42" s="7"/>
      <c r="O42" s="7"/>
      <c r="Q42" s="150"/>
      <c r="R42" s="82"/>
      <c r="U42" s="82"/>
    </row>
    <row r="43" spans="1:21" ht="15" x14ac:dyDescent="0.2">
      <c r="A43" s="7"/>
      <c r="B43" s="7"/>
      <c r="C43" s="7"/>
      <c r="D43" s="7"/>
      <c r="E43" s="7" t="s">
        <v>73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  <c r="Q43" s="150"/>
      <c r="R43" s="82"/>
      <c r="U43" s="82"/>
    </row>
    <row r="44" spans="1:21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  <c r="Q44" s="150"/>
      <c r="R44" s="82"/>
      <c r="U44" s="82"/>
    </row>
    <row r="45" spans="1:21" ht="15" x14ac:dyDescent="0.2">
      <c r="A45" s="7"/>
      <c r="B45" s="7"/>
      <c r="C45" s="7"/>
      <c r="D45" s="7"/>
      <c r="E45" s="7" t="s">
        <v>74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  <c r="Q45" s="150"/>
      <c r="R45" s="82"/>
      <c r="U45" s="82"/>
    </row>
    <row r="46" spans="1:21" ht="15" x14ac:dyDescent="0.2">
      <c r="A46" s="7"/>
      <c r="B46" s="7"/>
      <c r="C46" s="7"/>
      <c r="D46" s="7"/>
      <c r="E46" s="7" t="s">
        <v>75</v>
      </c>
      <c r="F46" s="7"/>
      <c r="G46" s="7"/>
      <c r="H46" s="7"/>
      <c r="I46" s="7"/>
      <c r="J46" s="7"/>
      <c r="K46" s="7"/>
      <c r="L46" s="7"/>
      <c r="M46" s="27">
        <v>294451.21199999994</v>
      </c>
      <c r="N46" s="7"/>
      <c r="O46" s="7"/>
      <c r="Q46" s="150"/>
      <c r="R46" s="82"/>
      <c r="U46" s="82"/>
    </row>
    <row r="47" spans="1:21" ht="1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U47" s="82"/>
    </row>
    <row r="48" spans="1:21" ht="16.5" thickBo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30">
        <v>891103.89267485193</v>
      </c>
      <c r="N48" s="7"/>
      <c r="O48" s="31">
        <v>891103.89267485193</v>
      </c>
      <c r="U48" s="82"/>
    </row>
    <row r="49" spans="1:21" ht="16.5" thickTop="1" x14ac:dyDescent="0.25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32"/>
      <c r="N49" s="7"/>
      <c r="O49" s="31"/>
      <c r="U49" s="82"/>
    </row>
    <row r="50" spans="1:21" ht="15.75" x14ac:dyDescent="0.25">
      <c r="A50" s="7"/>
      <c r="B50" s="333" t="s">
        <v>1281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338">
        <v>769685</v>
      </c>
      <c r="N50" s="7"/>
      <c r="O50" s="34">
        <v>769685</v>
      </c>
      <c r="S50" s="96"/>
      <c r="U50" s="82"/>
    </row>
    <row r="51" spans="1:21" ht="15.75" x14ac:dyDescent="0.25">
      <c r="A51" s="7"/>
      <c r="B51" s="333" t="s">
        <v>1282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338">
        <v>30167</v>
      </c>
      <c r="N51" s="7"/>
      <c r="O51" s="34">
        <v>30167</v>
      </c>
      <c r="S51" s="96"/>
      <c r="U51" s="82"/>
    </row>
    <row r="52" spans="1:21" ht="15" x14ac:dyDescent="0.2">
      <c r="A52" s="7"/>
      <c r="B52" s="7"/>
      <c r="C52" s="11"/>
      <c r="D52" s="7"/>
      <c r="E52" s="11"/>
      <c r="F52" s="7"/>
      <c r="G52" s="7"/>
      <c r="H52" s="11"/>
      <c r="I52" s="7"/>
      <c r="J52" s="7"/>
      <c r="K52" s="7"/>
      <c r="L52" s="7"/>
      <c r="M52" s="7"/>
      <c r="N52" s="7"/>
      <c r="O52" s="7"/>
    </row>
    <row r="53" spans="1:21" ht="15.75" x14ac:dyDescent="0.25">
      <c r="A53" s="7"/>
      <c r="B53" s="8" t="s">
        <v>650</v>
      </c>
      <c r="C53" s="7"/>
      <c r="D53" s="7"/>
      <c r="E53" s="11"/>
      <c r="F53" s="7"/>
      <c r="G53" s="11"/>
      <c r="H53" s="7"/>
      <c r="I53" s="11"/>
      <c r="J53" s="7"/>
      <c r="K53" s="11"/>
      <c r="L53" s="7"/>
      <c r="M53" s="12"/>
      <c r="N53" s="7"/>
      <c r="O53" s="7"/>
    </row>
    <row r="54" spans="1:21" ht="15" x14ac:dyDescent="0.2">
      <c r="A54" s="7"/>
      <c r="B54" s="7"/>
      <c r="C54" s="151" t="s">
        <v>1285</v>
      </c>
      <c r="D54" s="7"/>
      <c r="E54" s="11"/>
      <c r="F54" s="7"/>
      <c r="G54" s="7"/>
      <c r="H54" s="7"/>
      <c r="I54" s="7"/>
      <c r="J54" s="7"/>
      <c r="K54" s="7"/>
      <c r="L54" s="7"/>
      <c r="M54" s="27">
        <v>9730</v>
      </c>
      <c r="N54" s="7"/>
      <c r="O54" s="7"/>
    </row>
    <row r="55" spans="1:21" ht="15" x14ac:dyDescent="0.2">
      <c r="A55" s="7"/>
      <c r="B55" s="7"/>
      <c r="C55" s="12"/>
      <c r="D55" s="7"/>
      <c r="E55" s="36"/>
      <c r="F55" s="7"/>
      <c r="G55" s="12"/>
      <c r="H55" s="7"/>
      <c r="I55" s="12"/>
      <c r="J55" s="7"/>
      <c r="K55" s="12"/>
      <c r="L55" s="7"/>
      <c r="M55" s="35"/>
      <c r="N55" s="7"/>
      <c r="O55" s="7"/>
    </row>
    <row r="56" spans="1:21" ht="15" x14ac:dyDescent="0.2">
      <c r="A56" s="7"/>
      <c r="B56" s="7"/>
      <c r="C56" s="95" t="s">
        <v>1286</v>
      </c>
      <c r="D56" s="7"/>
      <c r="E56" s="36"/>
      <c r="F56" s="7"/>
      <c r="G56" s="12"/>
      <c r="H56" s="7"/>
      <c r="I56" s="12"/>
      <c r="J56" s="7"/>
      <c r="K56" s="12"/>
      <c r="L56" s="7"/>
      <c r="M56" s="27">
        <v>193246</v>
      </c>
      <c r="N56" s="7"/>
      <c r="O56" s="7"/>
    </row>
    <row r="57" spans="1:21" ht="15" x14ac:dyDescent="0.2">
      <c r="A57" s="7"/>
      <c r="B57" s="7"/>
      <c r="C57" s="12"/>
      <c r="D57" s="7"/>
      <c r="E57" s="36"/>
      <c r="F57" s="7"/>
      <c r="G57" s="12"/>
      <c r="H57" s="7"/>
      <c r="I57" s="12"/>
      <c r="J57" s="7"/>
      <c r="K57" s="12"/>
      <c r="L57" s="7"/>
      <c r="M57" s="35"/>
      <c r="N57" s="7"/>
      <c r="O57" s="7"/>
    </row>
    <row r="58" spans="1:21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21" ht="1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35"/>
      <c r="N59" s="7"/>
      <c r="O59" s="7"/>
    </row>
    <row r="60" spans="1:21" ht="1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37">
        <v>202976</v>
      </c>
      <c r="N60" s="7"/>
      <c r="O60" s="7"/>
    </row>
    <row r="61" spans="1:21" ht="1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35"/>
      <c r="N61" s="7"/>
      <c r="O61" s="7"/>
    </row>
    <row r="62" spans="1:21" ht="15" x14ac:dyDescent="0.2">
      <c r="A62" s="7"/>
      <c r="B62" s="7"/>
      <c r="C62" s="7" t="s">
        <v>77</v>
      </c>
      <c r="D62" s="7"/>
      <c r="E62" s="7"/>
      <c r="F62" s="7"/>
      <c r="G62" s="7"/>
      <c r="H62" s="7"/>
      <c r="I62" s="7"/>
      <c r="J62" s="7"/>
      <c r="K62" s="7"/>
      <c r="L62" s="7"/>
      <c r="M62" s="27">
        <v>297413</v>
      </c>
      <c r="N62" s="7"/>
      <c r="O62" s="7"/>
    </row>
    <row r="63" spans="1:21" ht="16.5" thickBo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8">
        <v>500389</v>
      </c>
      <c r="N63" s="7"/>
      <c r="O63" s="39">
        <v>500389</v>
      </c>
    </row>
    <row r="64" spans="1:21" ht="16.5" thickTop="1" thickBo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6.5" thickBot="1" x14ac:dyDescent="0.3">
      <c r="A65" s="7"/>
      <c r="B65" s="7"/>
      <c r="C65" s="8" t="s">
        <v>78</v>
      </c>
      <c r="D65" s="8"/>
      <c r="E65" s="7"/>
      <c r="F65" s="7"/>
      <c r="G65" s="7"/>
      <c r="H65" s="7"/>
      <c r="I65" s="7"/>
      <c r="J65" s="7"/>
      <c r="K65" s="7"/>
      <c r="L65" s="7"/>
      <c r="M65" s="7"/>
      <c r="N65" s="7"/>
      <c r="O65" s="40">
        <v>5670007.5821105102</v>
      </c>
    </row>
    <row r="66" spans="1:15" ht="15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5" x14ac:dyDescent="0.2">
      <c r="A67" s="7"/>
      <c r="B67" s="7"/>
      <c r="C67" s="7"/>
      <c r="D67" s="7"/>
      <c r="E67" s="7"/>
      <c r="F67" s="7"/>
      <c r="G67" s="7"/>
      <c r="H67" s="7"/>
      <c r="I67" s="7"/>
      <c r="J67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pageSetUpPr fitToPage="1"/>
  </sheetPr>
  <dimension ref="A1:V67"/>
  <sheetViews>
    <sheetView zoomScale="80" zoomScaleNormal="80" workbookViewId="0">
      <selection activeCell="R15" sqref="R15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7" width="9.140625" style="1"/>
    <col min="18" max="18" width="12.42578125" style="1" customWidth="1"/>
    <col min="19" max="19" width="9.140625" style="1" customWidth="1"/>
    <col min="20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16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8</v>
      </c>
      <c r="D15" s="7"/>
      <c r="E15" s="17">
        <v>3516.6354325009966</v>
      </c>
      <c r="F15" s="7"/>
      <c r="G15" s="18"/>
      <c r="H15" s="7"/>
      <c r="I15" s="19">
        <v>275</v>
      </c>
      <c r="J15" s="7"/>
      <c r="K15" s="20"/>
      <c r="L15" s="7"/>
      <c r="M15" s="21">
        <v>967074.7439377741</v>
      </c>
      <c r="N15" s="7"/>
      <c r="O15" s="7"/>
    </row>
    <row r="16" spans="1:15" ht="15" x14ac:dyDescent="0.2">
      <c r="A16" s="7"/>
      <c r="B16" s="7"/>
      <c r="C16" s="16" t="s">
        <v>9</v>
      </c>
      <c r="D16" s="7"/>
      <c r="E16" s="17">
        <v>3554.4609973218712</v>
      </c>
      <c r="F16" s="7"/>
      <c r="G16" s="18"/>
      <c r="H16" s="7"/>
      <c r="I16" s="19">
        <v>284</v>
      </c>
      <c r="J16" s="7"/>
      <c r="K16" s="20"/>
      <c r="L16" s="7"/>
      <c r="M16" s="21">
        <v>1009466.9232394114</v>
      </c>
      <c r="N16" s="7"/>
      <c r="O16" s="7"/>
    </row>
    <row r="17" spans="1:22" ht="15" x14ac:dyDescent="0.2">
      <c r="A17" s="7"/>
      <c r="B17" s="7"/>
      <c r="C17" s="16" t="s">
        <v>10</v>
      </c>
      <c r="D17" s="7"/>
      <c r="E17" s="17">
        <v>3569.591223250221</v>
      </c>
      <c r="F17" s="7"/>
      <c r="G17" s="18"/>
      <c r="H17" s="7"/>
      <c r="I17" s="19">
        <v>278</v>
      </c>
      <c r="J17" s="7"/>
      <c r="K17" s="20"/>
      <c r="L17" s="7"/>
      <c r="M17" s="21">
        <v>992346.36006356147</v>
      </c>
      <c r="N17" s="7"/>
      <c r="O17" s="7"/>
    </row>
    <row r="18" spans="1:22" ht="15" x14ac:dyDescent="0.2">
      <c r="A18" s="7"/>
      <c r="B18" s="7"/>
      <c r="C18" s="22" t="s">
        <v>11</v>
      </c>
      <c r="D18" s="7"/>
      <c r="E18" s="17">
        <v>3930.5048933850489</v>
      </c>
      <c r="F18" s="7"/>
      <c r="G18" s="18"/>
      <c r="H18" s="7"/>
      <c r="I18" s="19">
        <v>263</v>
      </c>
      <c r="J18" s="7"/>
      <c r="K18" s="20"/>
      <c r="L18" s="7"/>
      <c r="M18" s="21">
        <v>1033722.7869602679</v>
      </c>
      <c r="N18" s="7"/>
      <c r="O18" s="7"/>
    </row>
    <row r="19" spans="1:22" ht="15" x14ac:dyDescent="0.2">
      <c r="A19" s="7"/>
      <c r="B19" s="7"/>
      <c r="C19" s="22" t="s">
        <v>12</v>
      </c>
      <c r="D19" s="7"/>
      <c r="E19" s="17">
        <v>4298.4129394210549</v>
      </c>
      <c r="F19" s="7"/>
      <c r="G19" s="18"/>
      <c r="H19" s="7"/>
      <c r="I19" s="19">
        <v>268</v>
      </c>
      <c r="J19" s="7"/>
      <c r="K19" s="20"/>
      <c r="L19" s="7"/>
      <c r="M19" s="21">
        <v>1151974.6677648427</v>
      </c>
      <c r="N19" s="7"/>
      <c r="O19" s="7"/>
    </row>
    <row r="20" spans="1:22" ht="15" x14ac:dyDescent="0.2">
      <c r="A20" s="7"/>
      <c r="B20" s="7"/>
      <c r="C20" s="7"/>
      <c r="D20" s="7"/>
      <c r="E20" s="7"/>
      <c r="F20" s="7"/>
      <c r="G20" s="9"/>
      <c r="H20" s="7"/>
      <c r="I20" s="7"/>
      <c r="J20" s="7"/>
      <c r="K20" s="9"/>
      <c r="L20" s="7"/>
      <c r="M20" s="23"/>
      <c r="N20" s="7"/>
      <c r="O20" s="7"/>
    </row>
    <row r="21" spans="1:22" ht="16.5" thickBot="1" x14ac:dyDescent="0.3">
      <c r="A21" s="7"/>
      <c r="B21" s="7"/>
      <c r="C21" s="7"/>
      <c r="D21" s="7"/>
      <c r="E21" s="7"/>
      <c r="F21" s="7"/>
      <c r="G21" s="18"/>
      <c r="H21" s="7"/>
      <c r="I21" s="24">
        <v>1368</v>
      </c>
      <c r="J21" s="7"/>
      <c r="K21" s="20"/>
      <c r="L21" s="7"/>
      <c r="M21" s="25">
        <v>5154585.4819658576</v>
      </c>
      <c r="N21" s="7"/>
      <c r="O21" s="26">
        <v>5154585.4819658576</v>
      </c>
    </row>
    <row r="22" spans="1:22" ht="15.75" thickTop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9"/>
      <c r="L22" s="7"/>
      <c r="M22" s="7"/>
      <c r="N22" s="7"/>
      <c r="O22" s="7"/>
    </row>
    <row r="23" spans="1:22" ht="15.75" x14ac:dyDescent="0.25">
      <c r="A23" s="7"/>
      <c r="B23" s="8" t="s">
        <v>65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22" ht="15.75" x14ac:dyDescent="0.25">
      <c r="A24" s="7"/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22" ht="15" x14ac:dyDescent="0.2">
      <c r="A25" s="7"/>
      <c r="B25" s="7"/>
      <c r="C25" s="7"/>
      <c r="D25" s="7"/>
      <c r="E25" s="7" t="s">
        <v>49</v>
      </c>
      <c r="F25" s="7"/>
      <c r="G25" s="7"/>
      <c r="H25" s="7"/>
      <c r="I25" s="7"/>
      <c r="J25" s="7"/>
      <c r="K25" s="7"/>
      <c r="L25" s="7"/>
      <c r="M25" s="27">
        <v>18070</v>
      </c>
      <c r="N25" s="7"/>
      <c r="O25" s="7"/>
      <c r="R25" s="150"/>
      <c r="S25" s="82"/>
      <c r="V25" s="82"/>
    </row>
    <row r="26" spans="1:22" ht="15" x14ac:dyDescent="0.2">
      <c r="A26" s="7"/>
      <c r="B26" s="7"/>
      <c r="C26" s="7"/>
      <c r="D26" s="7"/>
      <c r="E26" s="7" t="s">
        <v>66</v>
      </c>
      <c r="F26" s="7"/>
      <c r="G26" s="7"/>
      <c r="H26" s="7"/>
      <c r="I26" s="7"/>
      <c r="J26" s="7"/>
      <c r="K26" s="7"/>
      <c r="L26" s="7"/>
      <c r="M26" s="27">
        <v>55558.405979999996</v>
      </c>
      <c r="N26" s="7"/>
      <c r="O26" s="7"/>
      <c r="R26" s="150"/>
      <c r="S26" s="82"/>
      <c r="V26" s="82"/>
    </row>
    <row r="27" spans="1:22" ht="15" x14ac:dyDescent="0.2">
      <c r="A27" s="7"/>
      <c r="B27" s="7"/>
      <c r="C27" s="7"/>
      <c r="D27" s="7"/>
      <c r="E27" s="7" t="s">
        <v>53</v>
      </c>
      <c r="F27" s="7"/>
      <c r="G27" s="7"/>
      <c r="H27" s="7"/>
      <c r="I27" s="7"/>
      <c r="J27" s="7"/>
      <c r="K27" s="7"/>
      <c r="L27" s="7"/>
      <c r="M27" s="27">
        <v>106393.67017685517</v>
      </c>
      <c r="N27" s="7"/>
      <c r="O27" s="7"/>
      <c r="R27" s="150"/>
      <c r="S27" s="82"/>
      <c r="V27" s="82"/>
    </row>
    <row r="28" spans="1:22" ht="15" x14ac:dyDescent="0.2">
      <c r="A28" s="7"/>
      <c r="B28" s="7"/>
      <c r="C28" s="7"/>
      <c r="D28" s="7"/>
      <c r="E28" s="7" t="s">
        <v>50</v>
      </c>
      <c r="F28" s="7"/>
      <c r="G28" s="7"/>
      <c r="H28" s="7"/>
      <c r="I28" s="7"/>
      <c r="J28" s="7"/>
      <c r="K28" s="7"/>
      <c r="L28" s="7"/>
      <c r="M28" s="27">
        <v>121422.56929254929</v>
      </c>
      <c r="N28" s="7"/>
      <c r="O28" s="7"/>
      <c r="R28" s="150"/>
      <c r="S28" s="82"/>
      <c r="V28" s="82"/>
    </row>
    <row r="29" spans="1:22" ht="15" x14ac:dyDescent="0.2">
      <c r="A29" s="7"/>
      <c r="B29" s="7"/>
      <c r="C29" s="7"/>
      <c r="D29" s="7"/>
      <c r="E29" s="7" t="s">
        <v>54</v>
      </c>
      <c r="F29" s="7"/>
      <c r="G29" s="7"/>
      <c r="H29" s="7"/>
      <c r="I29" s="7"/>
      <c r="J29" s="7"/>
      <c r="K29" s="7"/>
      <c r="L29" s="7"/>
      <c r="M29" s="27">
        <v>299600</v>
      </c>
      <c r="N29" s="7"/>
      <c r="O29" s="7"/>
      <c r="R29" s="150"/>
      <c r="S29" s="82"/>
      <c r="V29" s="82"/>
    </row>
    <row r="30" spans="1:22" ht="15" x14ac:dyDescent="0.2">
      <c r="A30" s="7"/>
      <c r="B30" s="7"/>
      <c r="C30" s="7"/>
      <c r="D30" s="7"/>
      <c r="E30" s="7" t="s">
        <v>51</v>
      </c>
      <c r="F30" s="7"/>
      <c r="G30" s="7"/>
      <c r="H30" s="7"/>
      <c r="I30" s="7"/>
      <c r="J30" s="7"/>
      <c r="K30" s="7"/>
      <c r="L30" s="7"/>
      <c r="M30" s="27">
        <v>24902.44620558984</v>
      </c>
      <c r="N30" s="7"/>
      <c r="O30" s="7"/>
      <c r="R30" s="150"/>
      <c r="S30" s="82"/>
      <c r="V30" s="82"/>
    </row>
    <row r="31" spans="1:22" ht="1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27"/>
      <c r="N31" s="7"/>
      <c r="O31" s="7"/>
      <c r="R31" s="150"/>
      <c r="S31" s="82"/>
      <c r="V31" s="82"/>
    </row>
    <row r="32" spans="1:22" ht="15" x14ac:dyDescent="0.2">
      <c r="A32" s="7"/>
      <c r="B32" s="7"/>
      <c r="C32" s="7"/>
      <c r="D32" s="7"/>
      <c r="E32" s="7" t="s">
        <v>67</v>
      </c>
      <c r="F32" s="7"/>
      <c r="G32" s="7"/>
      <c r="H32" s="7"/>
      <c r="I32" s="7"/>
      <c r="J32" s="7"/>
      <c r="K32" s="7"/>
      <c r="L32" s="7"/>
      <c r="M32" s="27">
        <v>1568</v>
      </c>
      <c r="N32" s="7"/>
      <c r="O32" s="7"/>
      <c r="R32" s="150"/>
      <c r="S32" s="82"/>
      <c r="V32" s="82"/>
    </row>
    <row r="33" spans="1:22" ht="15" x14ac:dyDescent="0.2">
      <c r="A33" s="7"/>
      <c r="B33" s="7"/>
      <c r="C33" s="7"/>
      <c r="D33" s="7"/>
      <c r="E33" s="7" t="s">
        <v>68</v>
      </c>
      <c r="F33" s="7"/>
      <c r="G33" s="7"/>
      <c r="H33" s="7"/>
      <c r="I33" s="7"/>
      <c r="J33" s="7"/>
      <c r="K33" s="7"/>
      <c r="L33" s="7"/>
      <c r="M33" s="27">
        <v>3168.2122187499995</v>
      </c>
      <c r="N33" s="7"/>
      <c r="O33" s="7"/>
      <c r="R33" s="150"/>
      <c r="S33" s="82"/>
      <c r="V33" s="82"/>
    </row>
    <row r="34" spans="1:22" ht="15" x14ac:dyDescent="0.2">
      <c r="A34" s="7"/>
      <c r="B34" s="7"/>
      <c r="C34" s="7"/>
      <c r="D34" s="7"/>
      <c r="E34" s="28" t="s">
        <v>69</v>
      </c>
      <c r="F34" s="7"/>
      <c r="G34" s="7"/>
      <c r="H34" s="7"/>
      <c r="I34" s="7"/>
      <c r="J34" s="7"/>
      <c r="K34" s="7"/>
      <c r="L34" s="7"/>
      <c r="M34" s="27">
        <v>13750</v>
      </c>
      <c r="N34" s="7"/>
      <c r="O34" s="7"/>
      <c r="R34" s="150"/>
      <c r="S34" s="82"/>
      <c r="V34" s="82"/>
    </row>
    <row r="35" spans="1:22" ht="15" x14ac:dyDescent="0.2">
      <c r="A35" s="7"/>
      <c r="B35" s="7"/>
      <c r="C35" s="7"/>
      <c r="D35" s="7"/>
      <c r="E35" s="29" t="s">
        <v>786</v>
      </c>
      <c r="F35" s="7"/>
      <c r="G35" s="7"/>
      <c r="H35" s="7"/>
      <c r="I35" s="7"/>
      <c r="J35" s="7"/>
      <c r="K35" s="7"/>
      <c r="L35" s="7"/>
      <c r="M35" s="27">
        <v>40246.560000000005</v>
      </c>
      <c r="N35" s="7"/>
      <c r="O35" s="7"/>
      <c r="R35" s="150"/>
      <c r="S35" s="82"/>
      <c r="V35" s="82"/>
    </row>
    <row r="36" spans="1:22" ht="15" x14ac:dyDescent="0.2">
      <c r="A36" s="7"/>
      <c r="B36" s="7"/>
      <c r="C36" s="7"/>
      <c r="D36" s="7"/>
      <c r="E36" s="7" t="s">
        <v>70</v>
      </c>
      <c r="F36" s="7"/>
      <c r="G36" s="7"/>
      <c r="H36" s="7"/>
      <c r="I36" s="7"/>
      <c r="J36" s="7"/>
      <c r="K36" s="7"/>
      <c r="L36" s="7"/>
      <c r="M36" s="27">
        <v>4000</v>
      </c>
      <c r="N36" s="7"/>
      <c r="O36" s="7"/>
      <c r="R36" s="150"/>
      <c r="S36" s="82"/>
      <c r="V36" s="82"/>
    </row>
    <row r="37" spans="1:22" ht="15" x14ac:dyDescent="0.2">
      <c r="A37" s="7"/>
      <c r="B37" s="7"/>
      <c r="C37" s="7"/>
      <c r="D37" s="7"/>
      <c r="E37" s="7" t="s">
        <v>71</v>
      </c>
      <c r="F37" s="7"/>
      <c r="G37" s="7"/>
      <c r="H37" s="7"/>
      <c r="I37" s="7"/>
      <c r="J37" s="7"/>
      <c r="K37" s="7"/>
      <c r="L37" s="7"/>
      <c r="M37" s="27">
        <v>7109.6319062499988</v>
      </c>
      <c r="N37" s="7"/>
      <c r="O37" s="7"/>
      <c r="R37" s="150"/>
      <c r="S37" s="82"/>
      <c r="V37" s="82"/>
    </row>
    <row r="38" spans="1:22" ht="15" x14ac:dyDescent="0.2">
      <c r="A38" s="7"/>
      <c r="B38" s="7"/>
      <c r="C38" s="7"/>
      <c r="D38" s="7"/>
      <c r="E38" s="7" t="s">
        <v>72</v>
      </c>
      <c r="F38" s="7"/>
      <c r="G38" s="7"/>
      <c r="H38" s="7"/>
      <c r="I38" s="7"/>
      <c r="J38" s="7"/>
      <c r="K38" s="7"/>
      <c r="L38" s="7"/>
      <c r="M38" s="27">
        <v>63037.499999999985</v>
      </c>
      <c r="N38" s="7"/>
      <c r="O38" s="7"/>
      <c r="R38" s="150"/>
      <c r="S38" s="82"/>
      <c r="V38" s="82"/>
    </row>
    <row r="39" spans="1:22" ht="15" x14ac:dyDescent="0.2">
      <c r="A39" s="7"/>
      <c r="B39" s="7"/>
      <c r="C39" s="7"/>
      <c r="D39" s="7"/>
      <c r="E39" s="7" t="s">
        <v>55</v>
      </c>
      <c r="F39" s="7"/>
      <c r="G39" s="7"/>
      <c r="H39" s="7"/>
      <c r="I39" s="7"/>
      <c r="J39" s="7"/>
      <c r="K39" s="7"/>
      <c r="L39" s="7"/>
      <c r="M39" s="27">
        <v>2282.9026839466787</v>
      </c>
      <c r="N39" s="7"/>
      <c r="O39" s="7"/>
      <c r="R39" s="150"/>
      <c r="S39" s="82"/>
      <c r="V39" s="82"/>
    </row>
    <row r="40" spans="1:22" ht="1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27"/>
      <c r="N40" s="7"/>
      <c r="O40" s="7"/>
      <c r="R40" s="150"/>
      <c r="S40" s="82"/>
      <c r="V40" s="82"/>
    </row>
    <row r="41" spans="1:22" ht="15" x14ac:dyDescent="0.2">
      <c r="A41" s="7"/>
      <c r="B41" s="7"/>
      <c r="C41" s="7"/>
      <c r="D41" s="7"/>
      <c r="E41" s="7" t="s">
        <v>81</v>
      </c>
      <c r="F41" s="7"/>
      <c r="G41" s="7"/>
      <c r="H41" s="7"/>
      <c r="I41" s="7"/>
      <c r="J41" s="7"/>
      <c r="K41" s="7"/>
      <c r="L41" s="7"/>
      <c r="M41" s="27">
        <v>0</v>
      </c>
      <c r="N41" s="7"/>
      <c r="O41" s="7"/>
      <c r="R41" s="150"/>
      <c r="S41" s="82"/>
      <c r="V41" s="82"/>
    </row>
    <row r="42" spans="1:22" ht="15" x14ac:dyDescent="0.2">
      <c r="A42" s="7"/>
      <c r="B42" s="7"/>
      <c r="C42" s="7"/>
      <c r="D42" s="7"/>
      <c r="E42" s="7" t="s">
        <v>79</v>
      </c>
      <c r="F42" s="7"/>
      <c r="G42" s="7"/>
      <c r="H42" s="7"/>
      <c r="I42" s="7"/>
      <c r="J42" s="7"/>
      <c r="K42" s="7"/>
      <c r="L42" s="7"/>
      <c r="M42" s="27">
        <v>0</v>
      </c>
      <c r="N42" s="7"/>
      <c r="O42" s="7"/>
      <c r="R42" s="150"/>
      <c r="S42" s="82"/>
      <c r="V42" s="82"/>
    </row>
    <row r="43" spans="1:22" ht="15" x14ac:dyDescent="0.2">
      <c r="A43" s="7"/>
      <c r="B43" s="7"/>
      <c r="C43" s="7"/>
      <c r="D43" s="7"/>
      <c r="E43" s="7" t="s">
        <v>73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  <c r="R43" s="150"/>
      <c r="S43" s="82"/>
      <c r="V43" s="82"/>
    </row>
    <row r="44" spans="1:22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  <c r="R44" s="150"/>
      <c r="S44" s="82"/>
      <c r="V44" s="82"/>
    </row>
    <row r="45" spans="1:22" ht="15" x14ac:dyDescent="0.2">
      <c r="A45" s="7"/>
      <c r="B45" s="7"/>
      <c r="C45" s="7"/>
      <c r="D45" s="7"/>
      <c r="E45" s="7" t="s">
        <v>74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  <c r="R45" s="150"/>
      <c r="S45" s="82"/>
      <c r="V45" s="82"/>
    </row>
    <row r="46" spans="1:22" ht="15" x14ac:dyDescent="0.2">
      <c r="A46" s="7"/>
      <c r="B46" s="7"/>
      <c r="C46" s="7"/>
      <c r="D46" s="7"/>
      <c r="E46" s="7" t="s">
        <v>75</v>
      </c>
      <c r="F46" s="7"/>
      <c r="G46" s="7"/>
      <c r="H46" s="7"/>
      <c r="I46" s="7"/>
      <c r="J46" s="7"/>
      <c r="K46" s="7"/>
      <c r="L46" s="7"/>
      <c r="M46" s="27">
        <v>294451.21199999994</v>
      </c>
      <c r="N46" s="7"/>
      <c r="O46" s="7"/>
      <c r="R46" s="150"/>
      <c r="S46" s="82"/>
      <c r="V46" s="82"/>
    </row>
    <row r="47" spans="1:22" ht="1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R47" s="82"/>
      <c r="S47" s="82"/>
      <c r="V47" s="82"/>
    </row>
    <row r="48" spans="1:22" ht="16.5" thickBo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30">
        <v>1055561.110463941</v>
      </c>
      <c r="N48" s="7"/>
      <c r="O48" s="31">
        <v>1055561.110463941</v>
      </c>
      <c r="R48" s="82"/>
      <c r="S48" s="82"/>
      <c r="V48" s="82"/>
    </row>
    <row r="49" spans="1:22" ht="16.5" thickTop="1" x14ac:dyDescent="0.25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32"/>
      <c r="N49" s="7"/>
      <c r="O49" s="31"/>
      <c r="R49" s="82"/>
      <c r="V49" s="82"/>
    </row>
    <row r="50" spans="1:22" ht="15.75" x14ac:dyDescent="0.25">
      <c r="A50" s="7"/>
      <c r="B50" s="333" t="s">
        <v>1281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338">
        <v>1516968</v>
      </c>
      <c r="N50" s="7"/>
      <c r="O50" s="34">
        <v>1516968</v>
      </c>
      <c r="R50" s="82"/>
      <c r="V50" s="82"/>
    </row>
    <row r="51" spans="1:22" ht="15.75" x14ac:dyDescent="0.25">
      <c r="A51" s="7"/>
      <c r="B51" s="333" t="s">
        <v>1282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338">
        <v>63490</v>
      </c>
      <c r="N51" s="7"/>
      <c r="O51" s="34">
        <v>63490</v>
      </c>
      <c r="R51" s="82"/>
      <c r="V51" s="82"/>
    </row>
    <row r="52" spans="1:22" ht="15" x14ac:dyDescent="0.2">
      <c r="A52" s="7"/>
      <c r="B52" s="7"/>
      <c r="C52" s="11"/>
      <c r="D52" s="7"/>
      <c r="E52" s="11"/>
      <c r="F52" s="7"/>
      <c r="G52" s="7"/>
      <c r="H52" s="11"/>
      <c r="I52" s="7"/>
      <c r="J52" s="7"/>
      <c r="K52" s="7"/>
      <c r="L52" s="7"/>
      <c r="M52" s="7"/>
      <c r="N52" s="7"/>
      <c r="O52" s="7"/>
      <c r="V52" s="82"/>
    </row>
    <row r="53" spans="1:22" ht="15.75" x14ac:dyDescent="0.25">
      <c r="A53" s="7"/>
      <c r="B53" s="8" t="s">
        <v>650</v>
      </c>
      <c r="C53" s="7"/>
      <c r="D53" s="7"/>
      <c r="E53" s="11"/>
      <c r="F53" s="7"/>
      <c r="G53" s="11"/>
      <c r="H53" s="7"/>
      <c r="I53" s="11"/>
      <c r="J53" s="7"/>
      <c r="K53" s="11"/>
      <c r="L53" s="7"/>
      <c r="M53" s="12"/>
      <c r="N53" s="7"/>
      <c r="O53" s="7"/>
      <c r="V53" s="82"/>
    </row>
    <row r="54" spans="1:22" ht="15" x14ac:dyDescent="0.2">
      <c r="A54" s="7"/>
      <c r="B54" s="7"/>
      <c r="C54" s="151" t="s">
        <v>1285</v>
      </c>
      <c r="D54" s="7"/>
      <c r="E54" s="11"/>
      <c r="F54" s="7"/>
      <c r="G54" s="7"/>
      <c r="H54" s="7"/>
      <c r="I54" s="7"/>
      <c r="J54" s="7"/>
      <c r="K54" s="7"/>
      <c r="L54" s="7"/>
      <c r="M54" s="27">
        <v>34390</v>
      </c>
      <c r="N54" s="7"/>
      <c r="O54" s="7"/>
      <c r="V54" s="82"/>
    </row>
    <row r="55" spans="1:22" ht="15" x14ac:dyDescent="0.2">
      <c r="A55" s="7"/>
      <c r="B55" s="7"/>
      <c r="C55" s="12"/>
      <c r="D55" s="7"/>
      <c r="E55" s="36"/>
      <c r="F55" s="7"/>
      <c r="G55" s="12"/>
      <c r="H55" s="7"/>
      <c r="I55" s="12"/>
      <c r="J55" s="7"/>
      <c r="K55" s="12"/>
      <c r="L55" s="7"/>
      <c r="M55" s="35"/>
      <c r="N55" s="7"/>
      <c r="O55" s="7"/>
      <c r="V55" s="82"/>
    </row>
    <row r="56" spans="1:22" ht="15" x14ac:dyDescent="0.2">
      <c r="A56" s="7"/>
      <c r="B56" s="7"/>
      <c r="C56" s="95" t="s">
        <v>1286</v>
      </c>
      <c r="D56" s="7"/>
      <c r="E56" s="36"/>
      <c r="F56" s="7"/>
      <c r="G56" s="12"/>
      <c r="H56" s="7"/>
      <c r="I56" s="12"/>
      <c r="J56" s="7"/>
      <c r="K56" s="12"/>
      <c r="L56" s="7"/>
      <c r="M56" s="27">
        <v>468201</v>
      </c>
      <c r="N56" s="7"/>
      <c r="O56" s="7"/>
      <c r="V56" s="82"/>
    </row>
    <row r="57" spans="1:22" ht="15" x14ac:dyDescent="0.2">
      <c r="A57" s="7"/>
      <c r="B57" s="7"/>
      <c r="C57" s="12"/>
      <c r="D57" s="7"/>
      <c r="E57" s="36"/>
      <c r="F57" s="7"/>
      <c r="G57" s="12"/>
      <c r="H57" s="7"/>
      <c r="I57" s="12"/>
      <c r="J57" s="7"/>
      <c r="K57" s="12"/>
      <c r="L57" s="7"/>
      <c r="M57" s="35"/>
      <c r="N57" s="7"/>
      <c r="O57" s="7"/>
      <c r="V57" s="82"/>
    </row>
    <row r="58" spans="1:22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  <c r="V58" s="82"/>
    </row>
    <row r="59" spans="1:22" ht="1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35"/>
      <c r="N59" s="7"/>
      <c r="O59" s="7"/>
      <c r="V59" s="82"/>
    </row>
    <row r="60" spans="1:22" ht="1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37">
        <v>502591</v>
      </c>
      <c r="N60" s="7"/>
      <c r="O60" s="7"/>
      <c r="V60" s="82"/>
    </row>
    <row r="61" spans="1:22" ht="1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35"/>
      <c r="N61" s="7"/>
      <c r="O61" s="7"/>
      <c r="V61" s="82"/>
    </row>
    <row r="62" spans="1:22" ht="15" x14ac:dyDescent="0.2">
      <c r="A62" s="7"/>
      <c r="B62" s="7"/>
      <c r="C62" s="7" t="s">
        <v>77</v>
      </c>
      <c r="D62" s="7"/>
      <c r="E62" s="7"/>
      <c r="F62" s="7"/>
      <c r="G62" s="7"/>
      <c r="H62" s="7"/>
      <c r="I62" s="7"/>
      <c r="J62" s="7"/>
      <c r="K62" s="7"/>
      <c r="L62" s="7"/>
      <c r="M62" s="27">
        <v>418602.70300000004</v>
      </c>
      <c r="N62" s="7"/>
      <c r="O62" s="7"/>
      <c r="V62" s="82"/>
    </row>
    <row r="63" spans="1:22" ht="16.5" thickBo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8">
        <v>921193.70299999998</v>
      </c>
      <c r="N63" s="7"/>
      <c r="O63" s="39">
        <v>921193.70299999998</v>
      </c>
      <c r="V63" s="82"/>
    </row>
    <row r="64" spans="1:22" ht="16.5" thickTop="1" thickBo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6.5" thickBot="1" x14ac:dyDescent="0.3">
      <c r="A65" s="7"/>
      <c r="B65" s="7"/>
      <c r="C65" s="8" t="s">
        <v>78</v>
      </c>
      <c r="D65" s="8"/>
      <c r="E65" s="7"/>
      <c r="F65" s="7"/>
      <c r="G65" s="7"/>
      <c r="H65" s="7"/>
      <c r="I65" s="7"/>
      <c r="J65" s="7"/>
      <c r="K65" s="7"/>
      <c r="L65" s="7"/>
      <c r="M65" s="7"/>
      <c r="N65" s="7"/>
      <c r="O65" s="40">
        <v>8711798.2954297978</v>
      </c>
    </row>
    <row r="66" spans="1:15" ht="15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5" x14ac:dyDescent="0.2">
      <c r="A67" s="7"/>
      <c r="B67" s="7"/>
      <c r="C67" s="7"/>
      <c r="D67" s="7"/>
      <c r="E67" s="7"/>
      <c r="F67" s="7"/>
      <c r="G67" s="7"/>
      <c r="H67" s="7"/>
      <c r="I67" s="7"/>
      <c r="J67" s="7"/>
    </row>
  </sheetData>
  <phoneticPr fontId="0" type="noConversion"/>
  <pageMargins left="0.75" right="0.75" top="1" bottom="1" header="0.5" footer="0.5"/>
  <pageSetup paperSize="9" scale="51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2">
    <pageSetUpPr fitToPage="1"/>
  </sheetPr>
  <dimension ref="A1:P71"/>
  <sheetViews>
    <sheetView zoomScale="90" zoomScaleNormal="90" workbookViewId="0">
      <selection activeCell="P71" sqref="P71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" width="12" style="1" bestFit="1" customWidth="1"/>
    <col min="17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tr">
        <f>'Caldicot Comp'!A3</f>
        <v xml:space="preserve"> School Budget Share for Financial Year 1st of April 2022 to 31st March 2023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647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339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tr">
        <f>'Caldicot Comp'!I11</f>
        <v>September 2021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8</v>
      </c>
      <c r="D15" s="7"/>
      <c r="E15" s="17" t="e">
        <f>#REF!</f>
        <v>#REF!</v>
      </c>
      <c r="F15" s="7"/>
      <c r="G15" s="18"/>
      <c r="H15" s="7"/>
      <c r="I15" s="19" t="e">
        <f>VLOOKUP($A$5,#REF!,11,FALSE)</f>
        <v>#REF!</v>
      </c>
      <c r="J15" s="7"/>
      <c r="K15" s="20"/>
      <c r="L15" s="7"/>
      <c r="M15" s="21" t="e">
        <f>I15*E15</f>
        <v>#REF!</v>
      </c>
      <c r="N15" s="7"/>
      <c r="O15" s="7"/>
    </row>
    <row r="16" spans="1:15" ht="15" x14ac:dyDescent="0.2">
      <c r="A16" s="7"/>
      <c r="B16" s="7"/>
      <c r="C16" s="16" t="s">
        <v>9</v>
      </c>
      <c r="D16" s="7"/>
      <c r="E16" s="17" t="e">
        <f>#REF!</f>
        <v>#REF!</v>
      </c>
      <c r="F16" s="7"/>
      <c r="G16" s="18"/>
      <c r="H16" s="7"/>
      <c r="I16" s="19" t="e">
        <f>VLOOKUP($A$5,#REF!,12,FALSE)</f>
        <v>#REF!</v>
      </c>
      <c r="J16" s="7"/>
      <c r="K16" s="20"/>
      <c r="L16" s="7"/>
      <c r="M16" s="21" t="e">
        <f>I16*E16</f>
        <v>#REF!</v>
      </c>
      <c r="N16" s="7"/>
      <c r="O16" s="7"/>
    </row>
    <row r="17" spans="1:15" ht="15" x14ac:dyDescent="0.2">
      <c r="A17" s="7"/>
      <c r="B17" s="7"/>
      <c r="C17" s="16" t="s">
        <v>10</v>
      </c>
      <c r="D17" s="7"/>
      <c r="E17" s="17" t="e">
        <f>#REF!</f>
        <v>#REF!</v>
      </c>
      <c r="F17" s="7"/>
      <c r="G17" s="18"/>
      <c r="H17" s="7"/>
      <c r="I17" s="19" t="e">
        <f>VLOOKUP($A$5,#REF!,13,FALSE)</f>
        <v>#REF!</v>
      </c>
      <c r="J17" s="7"/>
      <c r="K17" s="20"/>
      <c r="L17" s="7"/>
      <c r="M17" s="21" t="e">
        <f>I17*E17</f>
        <v>#REF!</v>
      </c>
      <c r="N17" s="7"/>
      <c r="O17" s="7"/>
    </row>
    <row r="18" spans="1:15" ht="15" x14ac:dyDescent="0.2">
      <c r="A18" s="7"/>
      <c r="B18" s="7"/>
      <c r="C18" s="22" t="s">
        <v>11</v>
      </c>
      <c r="D18" s="7"/>
      <c r="E18" s="17" t="e">
        <f>#REF!</f>
        <v>#REF!</v>
      </c>
      <c r="F18" s="7"/>
      <c r="G18" s="18"/>
      <c r="H18" s="7"/>
      <c r="I18" s="19" t="e">
        <f>VLOOKUP($A$5,#REF!,14,FALSE)</f>
        <v>#REF!</v>
      </c>
      <c r="J18" s="7"/>
      <c r="K18" s="20"/>
      <c r="L18" s="7"/>
      <c r="M18" s="21" t="e">
        <f>I18*E18</f>
        <v>#REF!</v>
      </c>
      <c r="N18" s="7"/>
      <c r="O18" s="7"/>
    </row>
    <row r="19" spans="1:15" ht="15" x14ac:dyDescent="0.2">
      <c r="A19" s="7"/>
      <c r="B19" s="7"/>
      <c r="C19" s="22" t="s">
        <v>12</v>
      </c>
      <c r="D19" s="7"/>
      <c r="E19" s="17" t="e">
        <f>#REF!</f>
        <v>#REF!</v>
      </c>
      <c r="F19" s="7"/>
      <c r="G19" s="18"/>
      <c r="H19" s="7"/>
      <c r="I19" s="19" t="e">
        <f>VLOOKUP($A$5,#REF!,15,FALSE)</f>
        <v>#REF!</v>
      </c>
      <c r="J19" s="7"/>
      <c r="K19" s="20"/>
      <c r="L19" s="7"/>
      <c r="M19" s="21" t="e">
        <f>I19*E19</f>
        <v>#REF!</v>
      </c>
      <c r="N19" s="7"/>
      <c r="O19" s="7"/>
    </row>
    <row r="20" spans="1:15" ht="15" x14ac:dyDescent="0.2">
      <c r="A20" s="7"/>
      <c r="B20" s="7"/>
      <c r="C20" s="7"/>
      <c r="D20" s="7"/>
      <c r="E20" s="7"/>
      <c r="F20" s="7"/>
      <c r="G20" s="9"/>
      <c r="H20" s="7"/>
      <c r="I20" s="7"/>
      <c r="J20" s="7"/>
      <c r="K20" s="9"/>
      <c r="L20" s="7"/>
      <c r="M20" s="23"/>
      <c r="N20" s="7"/>
      <c r="O20" s="7"/>
    </row>
    <row r="21" spans="1:15" ht="16.5" thickBot="1" x14ac:dyDescent="0.3">
      <c r="A21" s="7"/>
      <c r="B21" s="7"/>
      <c r="C21" s="7"/>
      <c r="D21" s="7"/>
      <c r="E21" s="7"/>
      <c r="F21" s="7"/>
      <c r="G21" s="18"/>
      <c r="H21" s="7"/>
      <c r="I21" s="24" t="e">
        <f>SUM(I15:I20)</f>
        <v>#REF!</v>
      </c>
      <c r="J21" s="7"/>
      <c r="K21" s="20"/>
      <c r="L21" s="7"/>
      <c r="M21" s="25" t="e">
        <f>SUM(M15:M20)</f>
        <v>#REF!</v>
      </c>
      <c r="N21" s="7"/>
      <c r="O21" s="26" t="e">
        <f>+M21</f>
        <v>#REF!</v>
      </c>
    </row>
    <row r="22" spans="1:15" ht="15.75" thickTop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9"/>
      <c r="L22" s="7"/>
      <c r="M22" s="7"/>
      <c r="N22" s="7"/>
      <c r="O22" s="7"/>
    </row>
    <row r="23" spans="1:15" ht="15.75" x14ac:dyDescent="0.25">
      <c r="A23" s="7"/>
      <c r="B23" s="8" t="s">
        <v>65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15.75" x14ac:dyDescent="0.25">
      <c r="A24" s="7"/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5" x14ac:dyDescent="0.2">
      <c r="A25" s="7"/>
      <c r="B25" s="7"/>
      <c r="C25" s="7"/>
      <c r="D25" s="7"/>
      <c r="E25" s="7" t="s">
        <v>49</v>
      </c>
      <c r="F25" s="7"/>
      <c r="G25" s="7"/>
      <c r="H25" s="7"/>
      <c r="I25" s="7"/>
      <c r="J25" s="7"/>
      <c r="K25" s="7"/>
      <c r="L25" s="7"/>
      <c r="M25" s="27" t="e">
        <f>VLOOKUP($A$5,#REF!,4,FALSE)</f>
        <v>#REF!</v>
      </c>
      <c r="N25" s="7"/>
      <c r="O25" s="7"/>
    </row>
    <row r="26" spans="1:15" ht="15" x14ac:dyDescent="0.2">
      <c r="A26" s="7"/>
      <c r="B26" s="7"/>
      <c r="C26" s="7"/>
      <c r="D26" s="7"/>
      <c r="E26" s="7" t="s">
        <v>66</v>
      </c>
      <c r="F26" s="7"/>
      <c r="G26" s="7"/>
      <c r="H26" s="7"/>
      <c r="I26" s="7"/>
      <c r="J26" s="7"/>
      <c r="K26" s="7"/>
      <c r="L26" s="7"/>
      <c r="M26" s="27" t="e">
        <f>VLOOKUP($A$5,#REF!,3,FALSE)</f>
        <v>#REF!</v>
      </c>
      <c r="N26" s="7"/>
      <c r="O26" s="7"/>
    </row>
    <row r="27" spans="1:15" ht="15" x14ac:dyDescent="0.2">
      <c r="A27" s="7"/>
      <c r="B27" s="7"/>
      <c r="C27" s="7"/>
      <c r="D27" s="7"/>
      <c r="E27" s="7" t="s">
        <v>53</v>
      </c>
      <c r="F27" s="7"/>
      <c r="G27" s="7"/>
      <c r="H27" s="7"/>
      <c r="I27" s="7"/>
      <c r="J27" s="7"/>
      <c r="K27" s="7"/>
      <c r="L27" s="7"/>
      <c r="M27" s="27" t="e">
        <f>VLOOKUP($A$5,#REF!,5,FALSE)</f>
        <v>#REF!</v>
      </c>
      <c r="N27" s="7"/>
      <c r="O27" s="7"/>
    </row>
    <row r="28" spans="1:15" ht="15" x14ac:dyDescent="0.2">
      <c r="A28" s="7"/>
      <c r="B28" s="7"/>
      <c r="C28" s="7"/>
      <c r="D28" s="7"/>
      <c r="E28" s="7" t="s">
        <v>50</v>
      </c>
      <c r="F28" s="7"/>
      <c r="G28" s="7"/>
      <c r="H28" s="7"/>
      <c r="I28" s="7"/>
      <c r="J28" s="7"/>
      <c r="K28" s="7"/>
      <c r="L28" s="7"/>
      <c r="M28" s="27" t="e">
        <f>VLOOKUP($A$5,#REF!,6,FALSE)</f>
        <v>#REF!</v>
      </c>
      <c r="N28" s="7"/>
      <c r="O28" s="7"/>
    </row>
    <row r="29" spans="1:15" ht="15" x14ac:dyDescent="0.2">
      <c r="A29" s="7"/>
      <c r="B29" s="7"/>
      <c r="C29" s="7"/>
      <c r="D29" s="7"/>
      <c r="E29" s="7" t="s">
        <v>54</v>
      </c>
      <c r="F29" s="7"/>
      <c r="G29" s="7"/>
      <c r="H29" s="7"/>
      <c r="I29" s="7"/>
      <c r="J29" s="7"/>
      <c r="K29" s="7"/>
      <c r="L29" s="7"/>
      <c r="M29" s="27" t="e">
        <f>VLOOKUP($A$5,#REF!,7,FALSE)</f>
        <v>#REF!</v>
      </c>
      <c r="N29" s="7"/>
      <c r="O29" s="7"/>
    </row>
    <row r="30" spans="1:15" ht="15" x14ac:dyDescent="0.2">
      <c r="A30" s="7"/>
      <c r="B30" s="7"/>
      <c r="C30" s="7"/>
      <c r="D30" s="7"/>
      <c r="E30" s="7" t="s">
        <v>51</v>
      </c>
      <c r="F30" s="7"/>
      <c r="G30" s="7"/>
      <c r="H30" s="7"/>
      <c r="I30" s="7"/>
      <c r="J30" s="7"/>
      <c r="K30" s="7"/>
      <c r="L30" s="7"/>
      <c r="M30" s="27" t="e">
        <f>VLOOKUP($A$5,#REF!,8,FALSE)</f>
        <v>#REF!</v>
      </c>
      <c r="N30" s="7"/>
      <c r="O30" s="7"/>
    </row>
    <row r="31" spans="1:15" ht="1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27"/>
      <c r="N31" s="7"/>
      <c r="O31" s="7"/>
    </row>
    <row r="32" spans="1:15" ht="15" x14ac:dyDescent="0.2">
      <c r="A32" s="7"/>
      <c r="B32" s="7"/>
      <c r="C32" s="7"/>
      <c r="D32" s="7"/>
      <c r="E32" s="7" t="s">
        <v>67</v>
      </c>
      <c r="F32" s="7"/>
      <c r="G32" s="7"/>
      <c r="H32" s="7"/>
      <c r="I32" s="7"/>
      <c r="J32" s="7"/>
      <c r="K32" s="7"/>
      <c r="L32" s="7"/>
      <c r="M32" s="27" t="e">
        <f>VLOOKUP($A$5,#REF!,3,FALSE)</f>
        <v>#REF!</v>
      </c>
      <c r="N32" s="7"/>
      <c r="O32" s="7"/>
    </row>
    <row r="33" spans="1:15" ht="15" x14ac:dyDescent="0.2">
      <c r="A33" s="7"/>
      <c r="B33" s="7"/>
      <c r="C33" s="7"/>
      <c r="D33" s="7"/>
      <c r="E33" s="7" t="s">
        <v>68</v>
      </c>
      <c r="F33" s="7"/>
      <c r="G33" s="7"/>
      <c r="H33" s="7"/>
      <c r="I33" s="7"/>
      <c r="J33" s="7"/>
      <c r="K33" s="7"/>
      <c r="L33" s="7"/>
      <c r="M33" s="27" t="e">
        <f>VLOOKUP($A$5,#REF!,4,FALSE)</f>
        <v>#REF!</v>
      </c>
      <c r="N33" s="7"/>
      <c r="O33" s="7"/>
    </row>
    <row r="34" spans="1:15" ht="15" x14ac:dyDescent="0.2">
      <c r="A34" s="7"/>
      <c r="B34" s="7"/>
      <c r="C34" s="7"/>
      <c r="D34" s="7"/>
      <c r="E34" s="28" t="s">
        <v>69</v>
      </c>
      <c r="F34" s="7"/>
      <c r="G34" s="7"/>
      <c r="H34" s="7"/>
      <c r="I34" s="7"/>
      <c r="J34" s="7"/>
      <c r="K34" s="7"/>
      <c r="L34" s="7"/>
      <c r="M34" s="27" t="e">
        <f>VLOOKUP($A$5,#REF!,7,FALSE)</f>
        <v>#REF!</v>
      </c>
      <c r="N34" s="7"/>
      <c r="O34" s="7"/>
    </row>
    <row r="35" spans="1:15" ht="15" x14ac:dyDescent="0.2">
      <c r="A35" s="7"/>
      <c r="B35" s="7"/>
      <c r="C35" s="7"/>
      <c r="D35" s="7"/>
      <c r="E35" s="95" t="s">
        <v>786</v>
      </c>
      <c r="F35" s="7"/>
      <c r="G35" s="7"/>
      <c r="H35" s="7"/>
      <c r="I35" s="7"/>
      <c r="J35" s="7"/>
      <c r="K35" s="7"/>
      <c r="L35" s="7"/>
      <c r="M35" s="27" t="e">
        <f>VLOOKUP($A$5,#REF!,6,FALSE)</f>
        <v>#REF!</v>
      </c>
      <c r="N35" s="7"/>
      <c r="O35" s="7"/>
    </row>
    <row r="36" spans="1:15" ht="15" x14ac:dyDescent="0.2">
      <c r="A36" s="7"/>
      <c r="B36" s="7"/>
      <c r="C36" s="7"/>
      <c r="D36" s="7"/>
      <c r="E36" s="7" t="s">
        <v>70</v>
      </c>
      <c r="F36" s="7"/>
      <c r="G36" s="7"/>
      <c r="H36" s="7"/>
      <c r="I36" s="7"/>
      <c r="J36" s="7"/>
      <c r="K36" s="7"/>
      <c r="L36" s="7"/>
      <c r="M36" s="27" t="e">
        <f>VLOOKUP($A$5,#REF!,9,FALSE)</f>
        <v>#REF!</v>
      </c>
      <c r="N36" s="7"/>
      <c r="O36" s="7"/>
    </row>
    <row r="37" spans="1:15" ht="15" x14ac:dyDescent="0.2">
      <c r="A37" s="7"/>
      <c r="B37" s="7"/>
      <c r="C37" s="7"/>
      <c r="D37" s="7"/>
      <c r="E37" s="7" t="s">
        <v>71</v>
      </c>
      <c r="F37" s="7"/>
      <c r="G37" s="7"/>
      <c r="H37" s="7"/>
      <c r="I37" s="7"/>
      <c r="J37" s="7"/>
      <c r="K37" s="7"/>
      <c r="L37" s="7"/>
      <c r="M37" s="27" t="e">
        <f>VLOOKUP($A$5,#REF!,8,FALSE)</f>
        <v>#REF!</v>
      </c>
      <c r="N37" s="7"/>
      <c r="O37" s="7"/>
    </row>
    <row r="38" spans="1:15" ht="15" x14ac:dyDescent="0.2">
      <c r="A38" s="7"/>
      <c r="B38" s="7"/>
      <c r="C38" s="7"/>
      <c r="D38" s="7"/>
      <c r="E38" s="7" t="s">
        <v>72</v>
      </c>
      <c r="F38" s="7"/>
      <c r="G38" s="7"/>
      <c r="H38" s="7"/>
      <c r="I38" s="7"/>
      <c r="J38" s="7"/>
      <c r="K38" s="7"/>
      <c r="L38" s="7"/>
      <c r="M38" s="27" t="e">
        <f>VLOOKUP($A$5,#REF!,10,FALSE)</f>
        <v>#REF!</v>
      </c>
      <c r="N38" s="7"/>
      <c r="O38" s="7"/>
    </row>
    <row r="39" spans="1:15" ht="15" x14ac:dyDescent="0.2">
      <c r="A39" s="7"/>
      <c r="B39" s="7"/>
      <c r="C39" s="7"/>
      <c r="D39" s="7"/>
      <c r="E39" s="7" t="s">
        <v>55</v>
      </c>
      <c r="F39" s="7"/>
      <c r="G39" s="7"/>
      <c r="H39" s="7"/>
      <c r="I39" s="7"/>
      <c r="J39" s="7"/>
      <c r="K39" s="7"/>
      <c r="L39" s="7"/>
      <c r="M39" s="27" t="e">
        <f>VLOOKUP($A$5,#REF!,11,FALSE)</f>
        <v>#REF!</v>
      </c>
      <c r="N39" s="7"/>
      <c r="O39" s="7"/>
    </row>
    <row r="40" spans="1:15" ht="1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27"/>
      <c r="N40" s="7"/>
      <c r="O40" s="7"/>
    </row>
    <row r="41" spans="1:15" ht="15" x14ac:dyDescent="0.2">
      <c r="A41" s="7"/>
      <c r="B41" s="7"/>
      <c r="C41" s="7"/>
      <c r="D41" s="7"/>
      <c r="E41" s="7" t="s">
        <v>81</v>
      </c>
      <c r="F41" s="7"/>
      <c r="G41" s="7"/>
      <c r="H41" s="7"/>
      <c r="I41" s="7"/>
      <c r="J41" s="7"/>
      <c r="K41" s="7"/>
      <c r="L41" s="7"/>
      <c r="M41" s="27" t="e">
        <f>VLOOKUP($A$5,#REF!,5,FALSE)</f>
        <v>#REF!</v>
      </c>
      <c r="N41" s="7"/>
      <c r="O41" s="7"/>
    </row>
    <row r="42" spans="1:15" ht="15" x14ac:dyDescent="0.2">
      <c r="A42" s="7"/>
      <c r="B42" s="7"/>
      <c r="C42" s="7"/>
      <c r="D42" s="7"/>
      <c r="E42" s="7" t="s">
        <v>79</v>
      </c>
      <c r="F42" s="7"/>
      <c r="G42" s="7"/>
      <c r="H42" s="7"/>
      <c r="I42" s="7"/>
      <c r="J42" s="7"/>
      <c r="K42" s="7"/>
      <c r="L42" s="7"/>
      <c r="M42" s="27" t="e">
        <f>VLOOKUP($A$5,#REF!,6,FALSE)</f>
        <v>#REF!</v>
      </c>
      <c r="N42" s="7"/>
      <c r="O42" s="7"/>
    </row>
    <row r="43" spans="1:15" ht="15" x14ac:dyDescent="0.2">
      <c r="A43" s="7"/>
      <c r="B43" s="7"/>
      <c r="C43" s="7"/>
      <c r="D43" s="7"/>
      <c r="E43" s="7" t="s">
        <v>73</v>
      </c>
      <c r="F43" s="7"/>
      <c r="G43" s="7"/>
      <c r="H43" s="7"/>
      <c r="I43" s="7"/>
      <c r="J43" s="7"/>
      <c r="K43" s="7"/>
      <c r="L43" s="7"/>
      <c r="M43" s="27" t="e">
        <f>VLOOKUP($A$5,#REF!,3,FALSE)+VLOOKUP($A$5,#REF!,4,FALSE)</f>
        <v>#REF!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74</v>
      </c>
      <c r="F45" s="7"/>
      <c r="G45" s="7"/>
      <c r="H45" s="7"/>
      <c r="I45" s="7"/>
      <c r="J45" s="7"/>
      <c r="K45" s="7"/>
      <c r="L45" s="7"/>
      <c r="M45" s="27">
        <f>VLOOKUP($A$5,Threshold!$A$6:$I$851,9,FALSE)</f>
        <v>0</v>
      </c>
      <c r="N45" s="7"/>
      <c r="O45" s="7"/>
    </row>
    <row r="46" spans="1:15" ht="15" x14ac:dyDescent="0.2">
      <c r="A46" s="7"/>
      <c r="B46" s="7"/>
      <c r="C46" s="7"/>
      <c r="D46" s="7"/>
      <c r="E46" s="7" t="s">
        <v>75</v>
      </c>
      <c r="F46" s="7"/>
      <c r="G46" s="7"/>
      <c r="H46" s="7"/>
      <c r="I46" s="7"/>
      <c r="J46" s="7"/>
      <c r="K46" s="7"/>
      <c r="L46" s="7"/>
      <c r="M46" s="27" t="e">
        <f>VLOOKUP($A$5,#REF!,13,FALSE)</f>
        <v>#REF!</v>
      </c>
      <c r="N46" s="7"/>
      <c r="O46" s="7"/>
    </row>
    <row r="47" spans="1:15" ht="1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6.5" thickBo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30" t="e">
        <f>SUM(M25:M46)</f>
        <v>#REF!</v>
      </c>
      <c r="N48" s="7"/>
      <c r="O48" s="31" t="e">
        <f>+M48</f>
        <v>#REF!</v>
      </c>
    </row>
    <row r="49" spans="1:15" ht="16.5" thickTop="1" x14ac:dyDescent="0.25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32"/>
      <c r="N49" s="7"/>
      <c r="O49" s="31"/>
    </row>
    <row r="50" spans="1:15" ht="15.75" x14ac:dyDescent="0.25">
      <c r="A50" s="7"/>
      <c r="B50" s="8" t="s">
        <v>649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33">
        <v>0</v>
      </c>
      <c r="N50" s="7"/>
      <c r="O50" s="34">
        <f>+M50</f>
        <v>0</v>
      </c>
    </row>
    <row r="51" spans="1:15" ht="15.75" x14ac:dyDescent="0.25">
      <c r="A51" s="7"/>
      <c r="B51" s="8" t="s">
        <v>650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5" x14ac:dyDescent="0.2">
      <c r="A52" s="7"/>
      <c r="B52" s="7"/>
      <c r="C52" s="11"/>
      <c r="D52" s="7"/>
      <c r="E52" s="11"/>
      <c r="F52" s="7"/>
      <c r="G52" s="7"/>
      <c r="H52" s="11"/>
      <c r="I52" s="7"/>
      <c r="J52" s="7"/>
      <c r="K52" s="7"/>
      <c r="L52" s="7"/>
      <c r="M52" s="7"/>
      <c r="N52" s="7"/>
      <c r="O52" s="7"/>
    </row>
    <row r="53" spans="1:15" ht="15" x14ac:dyDescent="0.2">
      <c r="A53" s="7"/>
      <c r="B53" s="7"/>
      <c r="C53" s="7"/>
      <c r="D53" s="7"/>
      <c r="E53" s="11"/>
      <c r="F53" s="7"/>
      <c r="G53" s="11"/>
      <c r="H53" s="7"/>
      <c r="I53" s="11"/>
      <c r="J53" s="7"/>
      <c r="K53" s="11"/>
      <c r="L53" s="7"/>
      <c r="M53" s="12"/>
      <c r="N53" s="7"/>
      <c r="O53" s="7"/>
    </row>
    <row r="54" spans="1:15" ht="15" x14ac:dyDescent="0.2">
      <c r="A54" s="7"/>
      <c r="B54" s="7"/>
      <c r="C54" s="7" t="s">
        <v>651</v>
      </c>
      <c r="D54" s="7"/>
      <c r="E54" s="11"/>
      <c r="F54" s="7"/>
      <c r="G54" s="7"/>
      <c r="H54" s="7"/>
      <c r="I54" s="7"/>
      <c r="J54" s="7"/>
      <c r="K54" s="7"/>
      <c r="L54" s="7"/>
      <c r="M54" s="4" t="e">
        <f>#REF!</f>
        <v>#REF!</v>
      </c>
      <c r="N54" s="7"/>
      <c r="O54" s="7"/>
    </row>
    <row r="55" spans="1:15" ht="15" x14ac:dyDescent="0.2">
      <c r="A55" s="7"/>
      <c r="B55" s="7"/>
      <c r="C55" s="12"/>
      <c r="D55" s="7"/>
      <c r="E55" s="36"/>
      <c r="F55" s="7"/>
      <c r="G55" s="12"/>
      <c r="H55" s="7"/>
      <c r="I55" s="12"/>
      <c r="J55" s="7"/>
      <c r="K55" s="12"/>
      <c r="L55" s="7"/>
      <c r="M55" s="35"/>
      <c r="N55" s="7"/>
      <c r="O55" s="7"/>
    </row>
    <row r="56" spans="1:15" ht="15" x14ac:dyDescent="0.2">
      <c r="A56" s="7"/>
      <c r="B56" s="7"/>
      <c r="C56" s="29" t="s">
        <v>76</v>
      </c>
      <c r="D56" s="7"/>
      <c r="E56" s="36"/>
      <c r="F56" s="7"/>
      <c r="G56" s="12"/>
      <c r="H56" s="7"/>
      <c r="I56" s="12"/>
      <c r="J56" s="7"/>
      <c r="K56" s="12"/>
      <c r="L56" s="7"/>
      <c r="M56" s="27" t="e">
        <f>VLOOKUP($A$5,#REF!,4,FALSE)</f>
        <v>#REF!</v>
      </c>
      <c r="N56" s="7"/>
      <c r="O56" s="7"/>
    </row>
    <row r="57" spans="1:15" ht="15" x14ac:dyDescent="0.2">
      <c r="A57" s="7"/>
      <c r="B57" s="7"/>
      <c r="C57" s="12"/>
      <c r="D57" s="7"/>
      <c r="E57" s="36"/>
      <c r="F57" s="7"/>
      <c r="G57" s="12"/>
      <c r="H57" s="7"/>
      <c r="I57" s="12"/>
      <c r="J57" s="7"/>
      <c r="K57" s="12"/>
      <c r="L57" s="7"/>
      <c r="M57" s="35"/>
      <c r="N57" s="7"/>
      <c r="O57" s="7"/>
    </row>
    <row r="58" spans="1:15" ht="15" x14ac:dyDescent="0.2">
      <c r="A58" s="7"/>
      <c r="B58" s="7"/>
      <c r="C58" s="7" t="s">
        <v>80</v>
      </c>
      <c r="D58" s="7"/>
      <c r="E58" s="36"/>
      <c r="F58" s="7"/>
      <c r="G58" s="12"/>
      <c r="H58" s="7"/>
      <c r="I58" s="336"/>
      <c r="J58" s="7"/>
      <c r="K58" s="7">
        <v>18</v>
      </c>
      <c r="L58" s="7"/>
      <c r="M58" s="27">
        <f>I58*K58</f>
        <v>0</v>
      </c>
      <c r="N58" s="7"/>
      <c r="O58" s="7"/>
    </row>
    <row r="59" spans="1:15" ht="1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35"/>
      <c r="N59" s="7"/>
      <c r="O59" s="7"/>
    </row>
    <row r="60" spans="1:15" ht="1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37" t="e">
        <f>SUM(M54:M59)</f>
        <v>#REF!</v>
      </c>
      <c r="N60" s="7"/>
      <c r="O60" s="7"/>
    </row>
    <row r="61" spans="1:15" ht="1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35"/>
      <c r="N61" s="7"/>
      <c r="O61" s="7"/>
    </row>
    <row r="62" spans="1:15" ht="15" x14ac:dyDescent="0.2">
      <c r="A62" s="7"/>
      <c r="B62" s="7"/>
      <c r="C62" s="7" t="s">
        <v>77</v>
      </c>
      <c r="D62" s="7"/>
      <c r="E62" s="7"/>
      <c r="F62" s="7"/>
      <c r="G62" s="7"/>
      <c r="H62" s="7"/>
      <c r="I62" s="7"/>
      <c r="J62" s="7"/>
      <c r="K62" s="7"/>
      <c r="L62" s="7"/>
      <c r="M62" s="35">
        <v>0</v>
      </c>
      <c r="N62" s="7"/>
      <c r="O62" s="7"/>
    </row>
    <row r="63" spans="1:15" ht="16.5" thickBo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8" t="e">
        <f>SUM(M60:M62)</f>
        <v>#REF!</v>
      </c>
      <c r="N63" s="7"/>
      <c r="O63" s="39" t="e">
        <f>+M63</f>
        <v>#REF!</v>
      </c>
    </row>
    <row r="64" spans="1:15" ht="16.5" thickTop="1" thickBo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6" ht="16.5" thickBot="1" x14ac:dyDescent="0.3">
      <c r="A65" s="7"/>
      <c r="B65" s="7"/>
      <c r="C65" s="8" t="s">
        <v>78</v>
      </c>
      <c r="D65" s="8"/>
      <c r="E65" s="7"/>
      <c r="F65" s="7"/>
      <c r="G65" s="7"/>
      <c r="H65" s="7"/>
      <c r="I65" s="7"/>
      <c r="J65" s="7"/>
      <c r="K65" s="7"/>
      <c r="L65" s="7"/>
      <c r="M65" s="7"/>
      <c r="N65" s="7"/>
      <c r="O65" s="40" t="e">
        <f>SUM(O21:O63)</f>
        <v>#REF!</v>
      </c>
    </row>
    <row r="66" spans="1:16" ht="15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6" ht="15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71" spans="1:16" x14ac:dyDescent="0.2">
      <c r="P71" s="82"/>
    </row>
  </sheetData>
  <phoneticPr fontId="0" type="noConversion"/>
  <pageMargins left="0.75" right="0.75" top="1" bottom="1" header="0.5" footer="0.5"/>
  <pageSetup paperSize="9" scale="61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8">
    <pageSetUpPr fitToPage="1"/>
  </sheetPr>
  <dimension ref="A1:O70"/>
  <sheetViews>
    <sheetView zoomScale="80" zoomScaleNormal="80" workbookViewId="0">
      <selection activeCell="R10" sqref="R10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645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8</v>
      </c>
      <c r="D15" s="7"/>
      <c r="E15" s="17">
        <v>0</v>
      </c>
      <c r="F15" s="7"/>
      <c r="G15" s="18"/>
      <c r="H15" s="7"/>
      <c r="I15" s="19">
        <v>0</v>
      </c>
      <c r="J15" s="7"/>
      <c r="K15" s="20"/>
      <c r="L15" s="7"/>
      <c r="M15" s="21">
        <v>0</v>
      </c>
      <c r="N15" s="7"/>
      <c r="O15" s="7"/>
    </row>
    <row r="16" spans="1:15" ht="15" x14ac:dyDescent="0.2">
      <c r="A16" s="7"/>
      <c r="B16" s="7"/>
      <c r="C16" s="16" t="s">
        <v>9</v>
      </c>
      <c r="D16" s="7"/>
      <c r="E16" s="17">
        <v>0</v>
      </c>
      <c r="F16" s="7"/>
      <c r="G16" s="18"/>
      <c r="H16" s="7"/>
      <c r="I16" s="19">
        <v>0</v>
      </c>
      <c r="J16" s="7"/>
      <c r="K16" s="20"/>
      <c r="L16" s="7"/>
      <c r="M16" s="21">
        <v>0</v>
      </c>
      <c r="N16" s="7"/>
      <c r="O16" s="7"/>
    </row>
    <row r="17" spans="1:15" ht="15" x14ac:dyDescent="0.2">
      <c r="A17" s="7"/>
      <c r="B17" s="7"/>
      <c r="C17" s="16" t="s">
        <v>10</v>
      </c>
      <c r="D17" s="7"/>
      <c r="E17" s="17">
        <v>0</v>
      </c>
      <c r="F17" s="7"/>
      <c r="G17" s="18"/>
      <c r="H17" s="7"/>
      <c r="I17" s="19">
        <v>0</v>
      </c>
      <c r="J17" s="7"/>
      <c r="K17" s="20"/>
      <c r="L17" s="7"/>
      <c r="M17" s="21">
        <v>0</v>
      </c>
      <c r="N17" s="7"/>
      <c r="O17" s="7"/>
    </row>
    <row r="18" spans="1:15" ht="15" x14ac:dyDescent="0.2">
      <c r="A18" s="7"/>
      <c r="B18" s="7"/>
      <c r="C18" s="22" t="s">
        <v>11</v>
      </c>
      <c r="D18" s="7"/>
      <c r="E18" s="17">
        <v>0</v>
      </c>
      <c r="F18" s="7"/>
      <c r="G18" s="18"/>
      <c r="H18" s="7"/>
      <c r="I18" s="19">
        <v>0</v>
      </c>
      <c r="J18" s="7"/>
      <c r="K18" s="20"/>
      <c r="L18" s="7"/>
      <c r="M18" s="21">
        <v>0</v>
      </c>
      <c r="N18" s="7"/>
      <c r="O18" s="7"/>
    </row>
    <row r="19" spans="1:15" ht="15" x14ac:dyDescent="0.2">
      <c r="A19" s="7"/>
      <c r="B19" s="7"/>
      <c r="C19" s="22" t="s">
        <v>12</v>
      </c>
      <c r="D19" s="7"/>
      <c r="E19" s="17">
        <v>0</v>
      </c>
      <c r="F19" s="7"/>
      <c r="G19" s="18"/>
      <c r="H19" s="7"/>
      <c r="I19" s="19">
        <v>0</v>
      </c>
      <c r="J19" s="7"/>
      <c r="K19" s="20"/>
      <c r="L19" s="7"/>
      <c r="M19" s="21">
        <v>0</v>
      </c>
      <c r="N19" s="7"/>
      <c r="O19" s="7"/>
    </row>
    <row r="20" spans="1:15" ht="15" x14ac:dyDescent="0.2">
      <c r="A20" s="7"/>
      <c r="B20" s="7"/>
      <c r="C20" s="7"/>
      <c r="D20" s="7"/>
      <c r="E20" s="7"/>
      <c r="F20" s="7"/>
      <c r="G20" s="9"/>
      <c r="H20" s="7"/>
      <c r="I20" s="7"/>
      <c r="J20" s="7"/>
      <c r="K20" s="9"/>
      <c r="L20" s="7"/>
      <c r="M20" s="23"/>
      <c r="N20" s="7"/>
      <c r="O20" s="7"/>
    </row>
    <row r="21" spans="1:15" ht="16.5" thickBot="1" x14ac:dyDescent="0.3">
      <c r="A21" s="7"/>
      <c r="B21" s="7"/>
      <c r="C21" s="7"/>
      <c r="D21" s="7"/>
      <c r="E21" s="7"/>
      <c r="F21" s="7"/>
      <c r="G21" s="18"/>
      <c r="H21" s="7"/>
      <c r="I21" s="24">
        <v>0</v>
      </c>
      <c r="J21" s="7"/>
      <c r="K21" s="20"/>
      <c r="L21" s="7"/>
      <c r="M21" s="25">
        <v>0</v>
      </c>
      <c r="N21" s="7"/>
      <c r="O21" s="26">
        <v>0</v>
      </c>
    </row>
    <row r="22" spans="1:15" ht="15.75" thickTop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9"/>
      <c r="L22" s="7"/>
      <c r="M22" s="7"/>
      <c r="N22" s="7"/>
      <c r="O22" s="7"/>
    </row>
    <row r="23" spans="1:15" ht="15.75" x14ac:dyDescent="0.25">
      <c r="A23" s="7"/>
      <c r="B23" s="8" t="s">
        <v>65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15.75" x14ac:dyDescent="0.25">
      <c r="A24" s="7"/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5" x14ac:dyDescent="0.2">
      <c r="A25" s="7"/>
      <c r="B25" s="7"/>
      <c r="C25" s="7"/>
      <c r="D25" s="7"/>
      <c r="E25" s="7" t="s">
        <v>49</v>
      </c>
      <c r="F25" s="7"/>
      <c r="G25" s="7"/>
      <c r="H25" s="7"/>
      <c r="I25" s="7"/>
      <c r="J25" s="7"/>
      <c r="K25" s="7"/>
      <c r="L25" s="7"/>
      <c r="M25" s="27">
        <v>0</v>
      </c>
      <c r="N25" s="7"/>
      <c r="O25" s="7"/>
    </row>
    <row r="26" spans="1:15" ht="15" x14ac:dyDescent="0.2">
      <c r="A26" s="7"/>
      <c r="B26" s="7"/>
      <c r="C26" s="7"/>
      <c r="D26" s="7"/>
      <c r="E26" s="7" t="s">
        <v>66</v>
      </c>
      <c r="F26" s="7"/>
      <c r="G26" s="7"/>
      <c r="H26" s="7"/>
      <c r="I26" s="7"/>
      <c r="J26" s="7"/>
      <c r="K26" s="7"/>
      <c r="L26" s="7"/>
      <c r="M26" s="27">
        <v>0</v>
      </c>
      <c r="N26" s="7"/>
      <c r="O26" s="7"/>
    </row>
    <row r="27" spans="1:15" ht="15" x14ac:dyDescent="0.2">
      <c r="A27" s="7"/>
      <c r="B27" s="7"/>
      <c r="C27" s="7"/>
      <c r="D27" s="7"/>
      <c r="E27" s="7" t="s">
        <v>53</v>
      </c>
      <c r="F27" s="7"/>
      <c r="G27" s="7"/>
      <c r="H27" s="7"/>
      <c r="I27" s="7"/>
      <c r="J27" s="7"/>
      <c r="K27" s="7"/>
      <c r="L27" s="7"/>
      <c r="M27" s="27">
        <v>0</v>
      </c>
      <c r="N27" s="7"/>
      <c r="O27" s="7"/>
    </row>
    <row r="28" spans="1:15" ht="15" x14ac:dyDescent="0.2">
      <c r="A28" s="7"/>
      <c r="B28" s="7"/>
      <c r="C28" s="7"/>
      <c r="D28" s="7"/>
      <c r="E28" s="7" t="s">
        <v>50</v>
      </c>
      <c r="F28" s="7"/>
      <c r="G28" s="7"/>
      <c r="H28" s="7"/>
      <c r="I28" s="7"/>
      <c r="J28" s="7"/>
      <c r="K28" s="7"/>
      <c r="L28" s="7"/>
      <c r="M28" s="27">
        <v>0</v>
      </c>
      <c r="N28" s="7"/>
      <c r="O28" s="7"/>
    </row>
    <row r="29" spans="1:15" ht="15" x14ac:dyDescent="0.2">
      <c r="A29" s="7"/>
      <c r="B29" s="7"/>
      <c r="C29" s="7"/>
      <c r="D29" s="7"/>
      <c r="E29" s="7" t="s">
        <v>54</v>
      </c>
      <c r="F29" s="7"/>
      <c r="G29" s="7"/>
      <c r="H29" s="7"/>
      <c r="I29" s="7"/>
      <c r="J29" s="7"/>
      <c r="K29" s="7"/>
      <c r="L29" s="7"/>
      <c r="M29" s="27">
        <v>30000</v>
      </c>
      <c r="N29" s="7"/>
      <c r="O29" s="7"/>
    </row>
    <row r="30" spans="1:15" ht="15" x14ac:dyDescent="0.2">
      <c r="A30" s="7"/>
      <c r="B30" s="7"/>
      <c r="C30" s="7"/>
      <c r="D30" s="7"/>
      <c r="E30" s="7" t="s">
        <v>51</v>
      </c>
      <c r="F30" s="7"/>
      <c r="G30" s="7"/>
      <c r="H30" s="7"/>
      <c r="I30" s="7"/>
      <c r="J30" s="7"/>
      <c r="K30" s="7"/>
      <c r="L30" s="7"/>
      <c r="M30" s="27">
        <v>0</v>
      </c>
      <c r="N30" s="7"/>
      <c r="O30" s="7"/>
    </row>
    <row r="31" spans="1:15" ht="1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27"/>
      <c r="N31" s="7"/>
      <c r="O31" s="7"/>
    </row>
    <row r="32" spans="1:15" ht="15" x14ac:dyDescent="0.2">
      <c r="A32" s="7"/>
      <c r="B32" s="7"/>
      <c r="C32" s="7"/>
      <c r="D32" s="7"/>
      <c r="E32" s="7" t="s">
        <v>67</v>
      </c>
      <c r="F32" s="7"/>
      <c r="G32" s="7"/>
      <c r="H32" s="7"/>
      <c r="I32" s="7"/>
      <c r="J32" s="7"/>
      <c r="K32" s="7"/>
      <c r="L32" s="7"/>
      <c r="M32" s="27">
        <v>0</v>
      </c>
      <c r="N32" s="7"/>
      <c r="O32" s="7"/>
    </row>
    <row r="33" spans="1:15" ht="15" x14ac:dyDescent="0.2">
      <c r="A33" s="7"/>
      <c r="B33" s="7"/>
      <c r="C33" s="7"/>
      <c r="D33" s="7"/>
      <c r="E33" s="7" t="s">
        <v>68</v>
      </c>
      <c r="F33" s="7"/>
      <c r="G33" s="7"/>
      <c r="H33" s="7"/>
      <c r="I33" s="7"/>
      <c r="J33" s="7"/>
      <c r="K33" s="7"/>
      <c r="L33" s="7"/>
      <c r="M33" s="27">
        <v>0</v>
      </c>
      <c r="N33" s="7"/>
      <c r="O33" s="7"/>
    </row>
    <row r="34" spans="1:15" ht="15" x14ac:dyDescent="0.2">
      <c r="A34" s="7"/>
      <c r="B34" s="7"/>
      <c r="C34" s="7"/>
      <c r="D34" s="7"/>
      <c r="E34" s="28" t="s">
        <v>69</v>
      </c>
      <c r="F34" s="7"/>
      <c r="G34" s="7"/>
      <c r="H34" s="7"/>
      <c r="I34" s="7"/>
      <c r="J34" s="7"/>
      <c r="K34" s="7"/>
      <c r="L34" s="7"/>
      <c r="M34" s="27">
        <v>0</v>
      </c>
      <c r="N34" s="7"/>
      <c r="O34" s="7"/>
    </row>
    <row r="35" spans="1:15" ht="15" x14ac:dyDescent="0.2">
      <c r="A35" s="7"/>
      <c r="B35" s="7"/>
      <c r="C35" s="7"/>
      <c r="D35" s="7"/>
      <c r="E35" s="95" t="s">
        <v>786</v>
      </c>
      <c r="F35" s="7"/>
      <c r="G35" s="7"/>
      <c r="H35" s="7"/>
      <c r="I35" s="7"/>
      <c r="J35" s="7"/>
      <c r="K35" s="7"/>
      <c r="L35" s="7"/>
      <c r="M35" s="27">
        <v>0</v>
      </c>
      <c r="N35" s="7"/>
      <c r="O35" s="7"/>
    </row>
    <row r="36" spans="1:15" ht="15" x14ac:dyDescent="0.2">
      <c r="A36" s="7"/>
      <c r="B36" s="7"/>
      <c r="C36" s="7"/>
      <c r="D36" s="7"/>
      <c r="E36" s="7" t="s">
        <v>70</v>
      </c>
      <c r="F36" s="7"/>
      <c r="G36" s="7"/>
      <c r="H36" s="7"/>
      <c r="I36" s="7"/>
      <c r="J36" s="7"/>
      <c r="K36" s="7"/>
      <c r="L36" s="7"/>
      <c r="M36" s="27">
        <v>0</v>
      </c>
      <c r="N36" s="7"/>
      <c r="O36" s="7"/>
    </row>
    <row r="37" spans="1:15" ht="15" x14ac:dyDescent="0.2">
      <c r="A37" s="7"/>
      <c r="B37" s="7"/>
      <c r="C37" s="7"/>
      <c r="D37" s="7"/>
      <c r="E37" s="7" t="s">
        <v>71</v>
      </c>
      <c r="F37" s="7"/>
      <c r="G37" s="7"/>
      <c r="H37" s="7"/>
      <c r="I37" s="7"/>
      <c r="J37" s="7"/>
      <c r="K37" s="7"/>
      <c r="L37" s="7"/>
      <c r="M37" s="27">
        <v>0</v>
      </c>
      <c r="N37" s="7"/>
      <c r="O37" s="7"/>
    </row>
    <row r="38" spans="1:15" ht="15" x14ac:dyDescent="0.2">
      <c r="A38" s="7"/>
      <c r="B38" s="7"/>
      <c r="C38" s="7"/>
      <c r="D38" s="7"/>
      <c r="E38" s="7" t="s">
        <v>72</v>
      </c>
      <c r="F38" s="7"/>
      <c r="G38" s="7"/>
      <c r="H38" s="7"/>
      <c r="I38" s="7"/>
      <c r="J38" s="7"/>
      <c r="K38" s="7"/>
      <c r="L38" s="7"/>
      <c r="M38" s="27">
        <v>0</v>
      </c>
      <c r="N38" s="7"/>
      <c r="O38" s="7"/>
    </row>
    <row r="39" spans="1:15" ht="15" x14ac:dyDescent="0.2">
      <c r="A39" s="7"/>
      <c r="B39" s="7"/>
      <c r="C39" s="7"/>
      <c r="D39" s="7"/>
      <c r="E39" s="7" t="s">
        <v>55</v>
      </c>
      <c r="F39" s="7"/>
      <c r="G39" s="7"/>
      <c r="H39" s="7"/>
      <c r="I39" s="7"/>
      <c r="J39" s="7"/>
      <c r="K39" s="7"/>
      <c r="L39" s="7"/>
      <c r="M39" s="27">
        <v>0</v>
      </c>
      <c r="N39" s="7"/>
      <c r="O39" s="7"/>
    </row>
    <row r="40" spans="1:15" ht="1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27"/>
      <c r="N40" s="7"/>
      <c r="O40" s="7"/>
    </row>
    <row r="41" spans="1:15" ht="15" x14ac:dyDescent="0.2">
      <c r="A41" s="7"/>
      <c r="B41" s="7"/>
      <c r="C41" s="7"/>
      <c r="D41" s="7"/>
      <c r="E41" s="7" t="s">
        <v>81</v>
      </c>
      <c r="F41" s="7"/>
      <c r="G41" s="7"/>
      <c r="H41" s="7"/>
      <c r="I41" s="7"/>
      <c r="J41" s="7"/>
      <c r="K41" s="7"/>
      <c r="L41" s="7"/>
      <c r="M41" s="27">
        <v>0</v>
      </c>
      <c r="N41" s="7"/>
      <c r="O41" s="7"/>
    </row>
    <row r="42" spans="1:15" ht="15" x14ac:dyDescent="0.2">
      <c r="A42" s="7"/>
      <c r="B42" s="7"/>
      <c r="C42" s="7"/>
      <c r="D42" s="7"/>
      <c r="E42" s="7" t="s">
        <v>79</v>
      </c>
      <c r="F42" s="7"/>
      <c r="G42" s="7"/>
      <c r="H42" s="7"/>
      <c r="I42" s="7"/>
      <c r="J42" s="7"/>
      <c r="K42" s="7"/>
      <c r="L42" s="7"/>
      <c r="M42" s="27">
        <v>0</v>
      </c>
      <c r="N42" s="7"/>
      <c r="O42" s="7"/>
    </row>
    <row r="43" spans="1:15" ht="15" x14ac:dyDescent="0.2">
      <c r="A43" s="7"/>
      <c r="B43" s="7"/>
      <c r="C43" s="7"/>
      <c r="D43" s="7"/>
      <c r="E43" s="7" t="s">
        <v>73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74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</row>
    <row r="46" spans="1:15" ht="15" x14ac:dyDescent="0.2">
      <c r="A46" s="7"/>
      <c r="B46" s="7"/>
      <c r="C46" s="7"/>
      <c r="D46" s="7"/>
      <c r="E46" s="7" t="s">
        <v>75</v>
      </c>
      <c r="F46" s="7"/>
      <c r="G46" s="7"/>
      <c r="H46" s="7"/>
      <c r="I46" s="7"/>
      <c r="J46" s="7"/>
      <c r="K46" s="7"/>
      <c r="L46" s="7"/>
      <c r="M46" s="27">
        <v>163831.495</v>
      </c>
      <c r="N46" s="7"/>
      <c r="O46" s="7"/>
    </row>
    <row r="47" spans="1:15" ht="1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6.5" thickBo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30">
        <v>193831.495</v>
      </c>
      <c r="N48" s="7"/>
      <c r="O48" s="31">
        <v>193831.495</v>
      </c>
    </row>
    <row r="49" spans="1:15" ht="16.5" thickTop="1" x14ac:dyDescent="0.25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32"/>
      <c r="N49" s="7"/>
      <c r="O49" s="31"/>
    </row>
    <row r="50" spans="1:15" ht="15.75" x14ac:dyDescent="0.25">
      <c r="A50" s="7"/>
      <c r="B50" s="8" t="s">
        <v>649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33">
        <v>0</v>
      </c>
      <c r="N50" s="7"/>
      <c r="O50" s="34">
        <v>0</v>
      </c>
    </row>
    <row r="51" spans="1:15" ht="15.75" x14ac:dyDescent="0.25">
      <c r="A51" s="7"/>
      <c r="B51" s="8" t="s">
        <v>650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5" x14ac:dyDescent="0.2">
      <c r="A52" s="7"/>
      <c r="B52" s="7"/>
      <c r="C52" s="11"/>
      <c r="D52" s="7"/>
      <c r="E52" s="11"/>
      <c r="F52" s="7"/>
      <c r="G52" s="7"/>
      <c r="H52" s="11"/>
      <c r="I52" s="7"/>
      <c r="J52" s="7"/>
      <c r="K52" s="7"/>
      <c r="L52" s="7"/>
      <c r="M52" s="7"/>
      <c r="N52" s="7"/>
      <c r="O52" s="7"/>
    </row>
    <row r="53" spans="1:15" ht="15" x14ac:dyDescent="0.2">
      <c r="A53" s="7"/>
      <c r="B53" s="7"/>
      <c r="C53" s="7"/>
      <c r="D53" s="7"/>
      <c r="E53" s="11"/>
      <c r="F53" s="7"/>
      <c r="G53" s="11"/>
      <c r="H53" s="7"/>
      <c r="I53" s="11"/>
      <c r="J53" s="7"/>
      <c r="K53" s="11"/>
      <c r="L53" s="7"/>
      <c r="M53" s="12"/>
      <c r="N53" s="7"/>
      <c r="O53" s="7"/>
    </row>
    <row r="54" spans="1:15" ht="15" x14ac:dyDescent="0.2">
      <c r="A54" s="7"/>
      <c r="B54" s="7"/>
      <c r="C54" s="7" t="s">
        <v>651</v>
      </c>
      <c r="D54" s="7"/>
      <c r="E54" s="11"/>
      <c r="F54" s="7"/>
      <c r="G54" s="7"/>
      <c r="H54" s="7"/>
      <c r="I54" s="7"/>
      <c r="J54" s="7"/>
      <c r="K54" s="7"/>
      <c r="L54" s="7"/>
      <c r="M54" s="35">
        <v>90000</v>
      </c>
      <c r="N54" s="7"/>
      <c r="O54" s="7"/>
    </row>
    <row r="55" spans="1:15" ht="15" x14ac:dyDescent="0.2">
      <c r="A55" s="7"/>
      <c r="B55" s="7"/>
      <c r="C55" s="12"/>
      <c r="D55" s="7"/>
      <c r="E55" s="36"/>
      <c r="F55" s="7"/>
      <c r="G55" s="12"/>
      <c r="H55" s="7"/>
      <c r="I55" s="12"/>
      <c r="J55" s="7"/>
      <c r="K55" s="12"/>
      <c r="L55" s="7"/>
      <c r="M55" s="35"/>
      <c r="N55" s="7"/>
      <c r="O55" s="7"/>
    </row>
    <row r="56" spans="1:15" ht="15" x14ac:dyDescent="0.2">
      <c r="A56" s="7"/>
      <c r="B56" s="7"/>
      <c r="C56" s="29" t="s">
        <v>76</v>
      </c>
      <c r="D56" s="7"/>
      <c r="E56" s="36"/>
      <c r="F56" s="7"/>
      <c r="G56" s="12"/>
      <c r="H56" s="7"/>
      <c r="I56" s="12"/>
      <c r="J56" s="7"/>
      <c r="K56" s="12"/>
      <c r="L56" s="7"/>
      <c r="M56" s="27">
        <v>0</v>
      </c>
      <c r="N56" s="7"/>
      <c r="O56" s="7"/>
    </row>
    <row r="57" spans="1:15" ht="15" x14ac:dyDescent="0.2">
      <c r="A57" s="7"/>
      <c r="B57" s="7"/>
      <c r="C57" s="12"/>
      <c r="D57" s="7"/>
      <c r="E57" s="36"/>
      <c r="F57" s="7"/>
      <c r="G57" s="12"/>
      <c r="H57" s="7"/>
      <c r="I57" s="12"/>
      <c r="J57" s="7"/>
      <c r="K57" s="12"/>
      <c r="L57" s="7"/>
      <c r="M57" s="35"/>
      <c r="N57" s="7"/>
      <c r="O57" s="7"/>
    </row>
    <row r="58" spans="1:15" ht="15" x14ac:dyDescent="0.2">
      <c r="A58" s="7"/>
      <c r="B58" s="7"/>
      <c r="C58" s="7" t="s">
        <v>652</v>
      </c>
      <c r="D58" s="7"/>
      <c r="E58" s="36"/>
      <c r="F58" s="7"/>
      <c r="G58" s="12"/>
      <c r="H58" s="7"/>
      <c r="I58" s="12"/>
      <c r="J58" s="7"/>
      <c r="K58" s="12"/>
      <c r="L58" s="7"/>
      <c r="M58" s="35">
        <v>171600</v>
      </c>
      <c r="N58" s="7"/>
      <c r="O58" s="7"/>
    </row>
    <row r="59" spans="1:15" ht="1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35"/>
      <c r="N59" s="7"/>
      <c r="O59" s="7"/>
    </row>
    <row r="60" spans="1:15" ht="1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37">
        <v>261600</v>
      </c>
      <c r="N60" s="7"/>
      <c r="O60" s="7"/>
    </row>
    <row r="61" spans="1:15" ht="1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35"/>
      <c r="N61" s="7"/>
      <c r="O61" s="7"/>
    </row>
    <row r="62" spans="1:15" ht="15" x14ac:dyDescent="0.2">
      <c r="A62" s="7"/>
      <c r="B62" s="7"/>
      <c r="C62" s="151" t="s">
        <v>1283</v>
      </c>
      <c r="D62" s="7"/>
      <c r="E62" s="7"/>
      <c r="F62" s="7"/>
      <c r="G62" s="7"/>
      <c r="H62" s="7"/>
      <c r="I62" s="7"/>
      <c r="J62" s="7"/>
      <c r="K62" s="7"/>
      <c r="L62" s="7"/>
      <c r="M62" s="27">
        <v>313256</v>
      </c>
      <c r="N62" s="7"/>
      <c r="O62" s="7"/>
    </row>
    <row r="63" spans="1:15" ht="16.5" thickBo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8">
        <v>574856</v>
      </c>
      <c r="N63" s="7"/>
      <c r="O63" s="39">
        <v>574856</v>
      </c>
    </row>
    <row r="64" spans="1:15" ht="16.5" thickTop="1" thickBo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6.5" thickBot="1" x14ac:dyDescent="0.3">
      <c r="A65" s="7"/>
      <c r="B65" s="7"/>
      <c r="C65" s="8" t="s">
        <v>78</v>
      </c>
      <c r="D65" s="8"/>
      <c r="E65" s="7"/>
      <c r="F65" s="7"/>
      <c r="G65" s="7"/>
      <c r="H65" s="7"/>
      <c r="I65" s="7"/>
      <c r="J65" s="7"/>
      <c r="K65" s="7"/>
      <c r="L65" s="7"/>
      <c r="M65" s="7"/>
      <c r="N65" s="7"/>
      <c r="O65" s="40">
        <v>768687.495</v>
      </c>
    </row>
    <row r="66" spans="1:15" ht="15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5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x14ac:dyDescent="0.2">
      <c r="O68" s="84"/>
    </row>
    <row r="69" spans="1:15" x14ac:dyDescent="0.2">
      <c r="O69" s="84"/>
    </row>
    <row r="70" spans="1:15" x14ac:dyDescent="0.2">
      <c r="O70" s="84"/>
    </row>
  </sheetData>
  <phoneticPr fontId="0" type="noConversion"/>
  <pageMargins left="0.75" right="0.75" top="1" bottom="1" header="0.5" footer="0.5"/>
  <pageSetup paperSize="9" scale="66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pageSetUpPr fitToPage="1"/>
  </sheetPr>
  <dimension ref="A1:P71"/>
  <sheetViews>
    <sheetView zoomScale="80" zoomScaleNormal="80" workbookViewId="0">
      <selection activeCell="Q12" sqref="Q12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6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6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6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6" ht="15.75" x14ac:dyDescent="0.25">
      <c r="A5" s="5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6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6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6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6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6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6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6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6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0</v>
      </c>
      <c r="J15" s="7"/>
      <c r="K15" s="9"/>
      <c r="L15" s="7"/>
      <c r="M15" s="21">
        <v>0</v>
      </c>
      <c r="N15" s="7"/>
      <c r="O15" s="7"/>
      <c r="P15" s="334"/>
    </row>
    <row r="16" spans="1:16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28</v>
      </c>
      <c r="J16" s="7"/>
      <c r="K16" s="9"/>
      <c r="L16" s="7"/>
      <c r="M16" s="21">
        <v>69909.826458137832</v>
      </c>
      <c r="N16" s="7"/>
      <c r="O16" s="7"/>
      <c r="P16" s="334"/>
    </row>
    <row r="17" spans="1:16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35</v>
      </c>
      <c r="J17" s="7"/>
      <c r="K17" s="9"/>
      <c r="L17" s="7"/>
      <c r="M17" s="21">
        <v>87387.28307267229</v>
      </c>
      <c r="N17" s="7"/>
      <c r="O17" s="7"/>
      <c r="P17" s="334"/>
    </row>
    <row r="18" spans="1:16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43</v>
      </c>
      <c r="J18" s="7"/>
      <c r="K18" s="9"/>
      <c r="L18" s="7"/>
      <c r="M18" s="21">
        <v>107361.51920356881</v>
      </c>
      <c r="N18" s="7"/>
      <c r="O18" s="7"/>
      <c r="P18" s="334"/>
    </row>
    <row r="19" spans="1:16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30</v>
      </c>
      <c r="J19" s="7"/>
      <c r="K19" s="9"/>
      <c r="L19" s="7"/>
      <c r="M19" s="21">
        <v>73937.764851694461</v>
      </c>
      <c r="N19" s="7"/>
      <c r="O19" s="7"/>
      <c r="P19" s="334"/>
    </row>
    <row r="20" spans="1:16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30</v>
      </c>
      <c r="J20" s="7"/>
      <c r="K20" s="20"/>
      <c r="L20" s="7"/>
      <c r="M20" s="21">
        <v>73937.764851694461</v>
      </c>
      <c r="N20" s="7"/>
      <c r="O20" s="7"/>
      <c r="P20" s="334"/>
    </row>
    <row r="21" spans="1:16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29</v>
      </c>
      <c r="J21" s="7"/>
      <c r="K21" s="20"/>
      <c r="L21" s="7"/>
      <c r="M21" s="21">
        <v>71473.17268997131</v>
      </c>
      <c r="N21" s="7"/>
      <c r="O21" s="7"/>
      <c r="P21" s="334"/>
    </row>
    <row r="22" spans="1:16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29</v>
      </c>
      <c r="J22" s="7"/>
      <c r="K22" s="20"/>
      <c r="L22" s="7"/>
      <c r="M22" s="21">
        <v>71473.17268997131</v>
      </c>
      <c r="N22" s="7"/>
      <c r="O22" s="7"/>
      <c r="P22" s="334"/>
    </row>
    <row r="23" spans="1:16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6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224</v>
      </c>
      <c r="J24" s="7"/>
      <c r="K24" s="20"/>
      <c r="L24" s="7"/>
      <c r="M24" s="25">
        <v>555480.50381771044</v>
      </c>
      <c r="N24" s="7"/>
      <c r="O24" s="26">
        <v>555480.50381771044</v>
      </c>
    </row>
    <row r="25" spans="1:16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6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6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6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5499.5680938247178</v>
      </c>
      <c r="N28" s="7"/>
      <c r="O28" s="7"/>
    </row>
    <row r="29" spans="1:16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7"/>
    </row>
    <row r="30" spans="1:16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12353.0288707134</v>
      </c>
      <c r="N30" s="7"/>
      <c r="O30" s="7"/>
    </row>
    <row r="31" spans="1:16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13919.104543299356</v>
      </c>
      <c r="N31" s="7"/>
      <c r="O31" s="7"/>
    </row>
    <row r="32" spans="1:16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4413.75</v>
      </c>
      <c r="N32" s="7"/>
      <c r="O32" s="7"/>
    </row>
    <row r="33" spans="1:15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7829.5960693060961</v>
      </c>
      <c r="N33" s="7"/>
      <c r="O33" s="7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</row>
    <row r="35" spans="1:15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</row>
    <row r="36" spans="1:15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1741.332140625</v>
      </c>
      <c r="N36" s="7"/>
      <c r="O36" s="7"/>
    </row>
    <row r="37" spans="1:15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1676</v>
      </c>
      <c r="N37" s="7"/>
      <c r="O37" s="7"/>
    </row>
    <row r="38" spans="1:15" ht="15" x14ac:dyDescent="0.2">
      <c r="A38" s="7"/>
      <c r="B38" s="7"/>
      <c r="C38" s="7"/>
      <c r="D38" s="7"/>
      <c r="E38" s="95" t="s">
        <v>786</v>
      </c>
      <c r="F38" s="7"/>
      <c r="G38" s="7"/>
      <c r="H38" s="7"/>
      <c r="I38" s="7"/>
      <c r="J38" s="7"/>
      <c r="K38" s="7"/>
      <c r="L38" s="7"/>
      <c r="M38" s="27">
        <v>6590.08</v>
      </c>
      <c r="N38" s="7"/>
      <c r="O38" s="7"/>
    </row>
    <row r="39" spans="1:15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1000</v>
      </c>
      <c r="N39" s="7"/>
      <c r="O39" s="7"/>
    </row>
    <row r="40" spans="1:15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2470.3870937499996</v>
      </c>
      <c r="N40" s="7"/>
      <c r="O40" s="7"/>
    </row>
    <row r="41" spans="1:15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1270.5714230761714</v>
      </c>
      <c r="N41" s="7"/>
      <c r="O41" s="7"/>
    </row>
    <row r="42" spans="1:15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386.94160880859368</v>
      </c>
      <c r="N42" s="7"/>
      <c r="O42" s="7"/>
    </row>
    <row r="43" spans="1:15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</row>
    <row r="46" spans="1:15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0</v>
      </c>
      <c r="N46" s="7"/>
      <c r="O46" s="7"/>
    </row>
    <row r="47" spans="1:15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17339.963123999998</v>
      </c>
      <c r="N47" s="7"/>
      <c r="O47" s="7"/>
    </row>
    <row r="48" spans="1:15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</row>
    <row r="49" spans="1:15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</row>
    <row r="50" spans="1:15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117553.6338</v>
      </c>
      <c r="N50" s="7"/>
      <c r="O50" s="7"/>
    </row>
    <row r="51" spans="1:15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221701.42420740332</v>
      </c>
      <c r="N52" s="7"/>
      <c r="O52" s="31">
        <v>221701.42420740332</v>
      </c>
    </row>
    <row r="53" spans="1:15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5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5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5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</row>
    <row r="58" spans="1:15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5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107039</v>
      </c>
      <c r="N59" s="7"/>
      <c r="O59" s="7"/>
    </row>
    <row r="60" spans="1:15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5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5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5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107039</v>
      </c>
      <c r="N63" s="7"/>
      <c r="O63" s="7"/>
    </row>
    <row r="64" spans="1:15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6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6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107039</v>
      </c>
      <c r="N66" s="7"/>
      <c r="O66" s="39">
        <v>107039</v>
      </c>
    </row>
    <row r="67" spans="1:16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6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884220.92802511377</v>
      </c>
      <c r="P68" s="82"/>
    </row>
    <row r="69" spans="1:16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6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6" x14ac:dyDescent="0.2">
      <c r="P71" s="82"/>
    </row>
  </sheetData>
  <phoneticPr fontId="0" type="noConversion"/>
  <pageMargins left="0.75" right="0.75" top="1" bottom="1" header="0.5" footer="0.5"/>
  <pageSetup paperSize="9" scale="66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pageSetUpPr fitToPage="1"/>
  </sheetPr>
  <dimension ref="A1:O70"/>
  <sheetViews>
    <sheetView workbookViewId="0">
      <selection activeCell="I11" sqref="I11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tr">
        <f>'Caldicot Comp'!A3</f>
        <v xml:space="preserve"> School Budget Share for Financial Year 1st of April 2022 to 31st March 2023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18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 t="e">
        <f>#REF!</f>
        <v>#REF!</v>
      </c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tr">
        <f>'Caldicot Comp'!I11</f>
        <v>September 2021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 t="e">
        <f>#REF!</f>
        <v>#REF!</v>
      </c>
      <c r="F15" s="7"/>
      <c r="G15" s="9"/>
      <c r="H15" s="7"/>
      <c r="I15" s="19" t="e">
        <f>VLOOKUP($A$5,#REF!,3,FALSE)</f>
        <v>#REF!</v>
      </c>
      <c r="J15" s="7"/>
      <c r="K15" s="9"/>
      <c r="L15" s="7"/>
      <c r="M15" s="21" t="e">
        <f>I15*E15</f>
        <v>#REF!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 t="e">
        <f>#REF!</f>
        <v>#REF!</v>
      </c>
      <c r="F16" s="7"/>
      <c r="G16" s="9"/>
      <c r="H16" s="7"/>
      <c r="I16" s="19" t="e">
        <f>VLOOKUP($A$5,#REF!,4,FALSE)</f>
        <v>#REF!</v>
      </c>
      <c r="J16" s="7"/>
      <c r="K16" s="9"/>
      <c r="L16" s="7"/>
      <c r="M16" s="21" t="e">
        <f>I16*E16</f>
        <v>#REF!</v>
      </c>
      <c r="N16" s="7"/>
      <c r="O16" s="7"/>
    </row>
    <row r="17" spans="1:15" ht="15" x14ac:dyDescent="0.2">
      <c r="A17" s="7"/>
      <c r="B17" s="7"/>
      <c r="C17" s="16" t="s">
        <v>2</v>
      </c>
      <c r="D17" s="7"/>
      <c r="E17" s="7" t="e">
        <f>#REF!</f>
        <v>#REF!</v>
      </c>
      <c r="F17" s="7"/>
      <c r="G17" s="9"/>
      <c r="H17" s="7"/>
      <c r="I17" s="19" t="e">
        <f>VLOOKUP($A$5,#REF!,5,FALSE)</f>
        <v>#REF!</v>
      </c>
      <c r="J17" s="7"/>
      <c r="K17" s="9"/>
      <c r="L17" s="7"/>
      <c r="M17" s="21" t="e">
        <f>I17*E17</f>
        <v>#REF!</v>
      </c>
      <c r="N17" s="7"/>
      <c r="O17" s="7"/>
    </row>
    <row r="18" spans="1:15" ht="15" x14ac:dyDescent="0.2">
      <c r="A18" s="7"/>
      <c r="B18" s="7"/>
      <c r="C18" s="16" t="s">
        <v>3</v>
      </c>
      <c r="D18" s="7"/>
      <c r="E18" s="7" t="e">
        <f>#REF!</f>
        <v>#REF!</v>
      </c>
      <c r="F18" s="7"/>
      <c r="G18" s="9"/>
      <c r="H18" s="7"/>
      <c r="I18" s="19" t="e">
        <f>VLOOKUP($A$5,#REF!,6,FALSE)</f>
        <v>#REF!</v>
      </c>
      <c r="J18" s="7"/>
      <c r="K18" s="9"/>
      <c r="L18" s="7"/>
      <c r="M18" s="21" t="e">
        <f>I18*E18</f>
        <v>#REF!</v>
      </c>
      <c r="N18" s="7"/>
      <c r="O18" s="7"/>
    </row>
    <row r="19" spans="1:15" ht="15" x14ac:dyDescent="0.2">
      <c r="A19" s="7"/>
      <c r="B19" s="7"/>
      <c r="C19" s="16" t="s">
        <v>4</v>
      </c>
      <c r="D19" s="7"/>
      <c r="E19" s="7" t="e">
        <f>#REF!</f>
        <v>#REF!</v>
      </c>
      <c r="F19" s="7"/>
      <c r="G19" s="9"/>
      <c r="H19" s="7"/>
      <c r="I19" s="19" t="e">
        <f>VLOOKUP($A$5,#REF!,7,FALSE)</f>
        <v>#REF!</v>
      </c>
      <c r="J19" s="7"/>
      <c r="K19" s="9"/>
      <c r="L19" s="7"/>
      <c r="M19" s="21" t="e">
        <f>(I19*E19)/12*5</f>
        <v>#REF!</v>
      </c>
      <c r="N19" s="7"/>
      <c r="O19" s="7"/>
    </row>
    <row r="20" spans="1:15" ht="15" x14ac:dyDescent="0.2">
      <c r="A20" s="7"/>
      <c r="B20" s="7"/>
      <c r="C20" s="16" t="s">
        <v>5</v>
      </c>
      <c r="D20" s="7"/>
      <c r="E20" s="7" t="e">
        <f>#REF!</f>
        <v>#REF!</v>
      </c>
      <c r="F20" s="7"/>
      <c r="G20" s="18"/>
      <c r="H20" s="7"/>
      <c r="I20" s="19" t="e">
        <f>VLOOKUP($A$5,#REF!,8,FALSE)</f>
        <v>#REF!</v>
      </c>
      <c r="J20" s="7"/>
      <c r="K20" s="20"/>
      <c r="L20" s="7"/>
      <c r="M20" s="21" t="e">
        <f>(I20*E20)/12*5</f>
        <v>#REF!</v>
      </c>
      <c r="N20" s="7"/>
      <c r="O20" s="7"/>
    </row>
    <row r="21" spans="1:15" ht="15" x14ac:dyDescent="0.2">
      <c r="A21" s="7"/>
      <c r="B21" s="7"/>
      <c r="C21" s="16" t="s">
        <v>6</v>
      </c>
      <c r="D21" s="7"/>
      <c r="E21" s="7" t="e">
        <f>#REF!</f>
        <v>#REF!</v>
      </c>
      <c r="F21" s="7"/>
      <c r="G21" s="18"/>
      <c r="H21" s="7"/>
      <c r="I21" s="19" t="e">
        <f>VLOOKUP($A$5,#REF!,9,FALSE)</f>
        <v>#REF!</v>
      </c>
      <c r="J21" s="7"/>
      <c r="K21" s="20"/>
      <c r="L21" s="7"/>
      <c r="M21" s="21" t="e">
        <f>(I21*E21)/12*5</f>
        <v>#REF!</v>
      </c>
      <c r="N21" s="7"/>
      <c r="O21" s="7"/>
    </row>
    <row r="22" spans="1:15" ht="15" x14ac:dyDescent="0.2">
      <c r="A22" s="7"/>
      <c r="B22" s="7"/>
      <c r="C22" s="16" t="s">
        <v>7</v>
      </c>
      <c r="D22" s="7"/>
      <c r="E22" s="7" t="e">
        <f>#REF!</f>
        <v>#REF!</v>
      </c>
      <c r="F22" s="7"/>
      <c r="G22" s="18"/>
      <c r="H22" s="7"/>
      <c r="I22" s="19" t="e">
        <f>VLOOKUP($A$5,#REF!,10,FALSE)</f>
        <v>#REF!</v>
      </c>
      <c r="J22" s="7"/>
      <c r="K22" s="20"/>
      <c r="L22" s="7"/>
      <c r="M22" s="21" t="e">
        <f>(I22*E22)/12*5</f>
        <v>#REF!</v>
      </c>
      <c r="N22" s="7"/>
      <c r="O22" s="7"/>
    </row>
    <row r="23" spans="1:15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5" ht="16.5" thickBot="1" x14ac:dyDescent="0.3">
      <c r="A24" s="7"/>
      <c r="B24" s="7"/>
      <c r="C24" s="7"/>
      <c r="D24" s="7"/>
      <c r="E24" s="7"/>
      <c r="F24" s="7"/>
      <c r="G24" s="18"/>
      <c r="H24" s="7"/>
      <c r="I24" s="80" t="e">
        <f>SUM(I15:I23)</f>
        <v>#REF!</v>
      </c>
      <c r="J24" s="7"/>
      <c r="K24" s="20"/>
      <c r="L24" s="7"/>
      <c r="M24" s="25" t="e">
        <f>SUM(M15:M23)</f>
        <v>#REF!</v>
      </c>
      <c r="N24" s="7"/>
      <c r="O24" s="26" t="e">
        <f>+M24</f>
        <v>#REF!</v>
      </c>
    </row>
    <row r="25" spans="1:15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5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 t="e">
        <f>VLOOKUP($A$5,#REF!,4,FALSE)</f>
        <v>#REF!</v>
      </c>
      <c r="N28" s="7"/>
      <c r="O28" s="7"/>
    </row>
    <row r="29" spans="1:15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 t="e">
        <f>VLOOKUP($A$5,#REF!,3,FALSE)</f>
        <v>#REF!</v>
      </c>
      <c r="N29" s="7"/>
      <c r="O29" s="7"/>
    </row>
    <row r="30" spans="1:15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 t="e">
        <f>VLOOKUP($A$5,#REF!,5,FALSE)</f>
        <v>#REF!</v>
      </c>
      <c r="N30" s="7"/>
      <c r="O30" s="7"/>
    </row>
    <row r="31" spans="1:15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 t="e">
        <f>VLOOKUP($A$5,#REF!,6,FALSE)</f>
        <v>#REF!</v>
      </c>
      <c r="N31" s="7"/>
      <c r="O31" s="7"/>
    </row>
    <row r="32" spans="1:15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 t="e">
        <f>VLOOKUP($A$5,#REF!,7,FALSE)</f>
        <v>#REF!</v>
      </c>
      <c r="N32" s="7"/>
      <c r="O32" s="7"/>
    </row>
    <row r="33" spans="1:15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 t="e">
        <f>VLOOKUP($A$5,#REF!,8,FALSE)</f>
        <v>#REF!</v>
      </c>
      <c r="N33" s="7"/>
      <c r="O33" s="7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</row>
    <row r="35" spans="1:15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 t="e">
        <f>VLOOKUP($A$5,#REF!,3,FALSE)</f>
        <v>#REF!</v>
      </c>
      <c r="N35" s="7"/>
      <c r="O35" s="7"/>
    </row>
    <row r="36" spans="1:15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 t="e">
        <f>VLOOKUP($A$5,#REF!,4,FALSE)</f>
        <v>#REF!</v>
      </c>
      <c r="N36" s="7"/>
      <c r="O36" s="7"/>
    </row>
    <row r="37" spans="1:15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 t="e">
        <f>VLOOKUP($A$5,#REF!,7,FALSE)</f>
        <v>#REF!</v>
      </c>
      <c r="N37" s="7"/>
      <c r="O37" s="7"/>
    </row>
    <row r="38" spans="1:15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 t="e">
        <f>VLOOKUP($A$5,#REF!,6,FALSE)</f>
        <v>#REF!</v>
      </c>
      <c r="N38" s="7"/>
      <c r="O38" s="7"/>
    </row>
    <row r="39" spans="1:15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 t="e">
        <f>VLOOKUP($A$5,#REF!,9,FALSE)</f>
        <v>#REF!</v>
      </c>
      <c r="N39" s="7"/>
      <c r="O39" s="7"/>
    </row>
    <row r="40" spans="1:15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 t="e">
        <f>VLOOKUP($A$5,#REF!,8,FALSE)</f>
        <v>#REF!</v>
      </c>
      <c r="N40" s="7"/>
      <c r="O40" s="7"/>
    </row>
    <row r="41" spans="1:15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 t="e">
        <f>VLOOKUP($A$5,#REF!,10,FALSE)</f>
        <v>#REF!</v>
      </c>
      <c r="N41" s="7"/>
      <c r="O41" s="7"/>
    </row>
    <row r="42" spans="1:15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 t="e">
        <f>VLOOKUP($A$5,#REF!,11,FALSE)</f>
        <v>#REF!</v>
      </c>
      <c r="N42" s="7"/>
      <c r="O42" s="7"/>
    </row>
    <row r="43" spans="1:15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150" t="e">
        <f>#REF!</f>
        <v>#REF!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 t="e">
        <f>VLOOKUP($A$5,#REF!,5,FALSE)</f>
        <v>#REF!</v>
      </c>
      <c r="N45" s="7"/>
      <c r="O45" s="7"/>
    </row>
    <row r="46" spans="1:15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 t="e">
        <f>VLOOKUP($A$5,#REF!,6,FALSE)</f>
        <v>#REF!</v>
      </c>
      <c r="N46" s="7"/>
      <c r="O46" s="7"/>
    </row>
    <row r="47" spans="1:15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 t="e">
        <f>VLOOKUP($A$5,#REF!,3,FALSE)+VLOOKUP($A$5,#REF!,4,FALSE)</f>
        <v>#REF!</v>
      </c>
      <c r="N47" s="7"/>
      <c r="O47" s="7"/>
    </row>
    <row r="48" spans="1:15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</row>
    <row r="49" spans="1:15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f>VLOOKUP($A$5,Threshold!$A$6:$I$728,9,FALSE)</f>
        <v>0</v>
      </c>
      <c r="N49" s="7"/>
      <c r="O49" s="7"/>
    </row>
    <row r="50" spans="1:15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 t="e">
        <f>VLOOKUP($A$5,#REF!,13,FALSE)</f>
        <v>#REF!</v>
      </c>
      <c r="N50" s="7"/>
      <c r="O50" s="7"/>
    </row>
    <row r="51" spans="1:15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 t="e">
        <f>SUM(M28:M50)</f>
        <v>#REF!</v>
      </c>
      <c r="N52" s="7"/>
      <c r="O52" s="31" t="e">
        <f>+M52</f>
        <v>#REF!</v>
      </c>
    </row>
    <row r="53" spans="1:15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5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5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5" ht="15" x14ac:dyDescent="0.2">
      <c r="A57" s="7"/>
      <c r="B57" s="7"/>
      <c r="C57" s="7" t="s">
        <v>75</v>
      </c>
      <c r="D57" s="7"/>
      <c r="E57" s="11"/>
      <c r="F57" s="7"/>
      <c r="G57" s="7"/>
      <c r="H57" s="7"/>
      <c r="I57" s="7"/>
      <c r="J57" s="7"/>
      <c r="K57" s="7"/>
      <c r="L57" s="7"/>
      <c r="M57" s="27" t="e">
        <f>VLOOKUP($A$5,#REF!,3,FALSE)</f>
        <v>#REF!</v>
      </c>
      <c r="N57" s="7"/>
      <c r="O57" s="7"/>
    </row>
    <row r="58" spans="1:15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5" ht="15" x14ac:dyDescent="0.2">
      <c r="A59" s="7"/>
      <c r="B59" s="7"/>
      <c r="C59" s="29" t="s">
        <v>76</v>
      </c>
      <c r="D59" s="7"/>
      <c r="E59" s="36"/>
      <c r="F59" s="7"/>
      <c r="G59" s="12"/>
      <c r="H59" s="7"/>
      <c r="I59" s="12"/>
      <c r="J59" s="7"/>
      <c r="K59" s="12"/>
      <c r="L59" s="7"/>
      <c r="M59" s="27" t="e">
        <f>VLOOKUP($A$5,#REF!,4,FALSE)</f>
        <v>#REF!</v>
      </c>
      <c r="N59" s="7"/>
      <c r="O59" s="7"/>
    </row>
    <row r="60" spans="1:15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5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5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5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 t="e">
        <f>SUM(M57:M62)</f>
        <v>#REF!</v>
      </c>
      <c r="N63" s="7"/>
      <c r="O63" s="7"/>
    </row>
    <row r="64" spans="1:15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 t="e">
        <f>VLOOKUP($A$5,#REF!,5,FALSE)+VLOOKUP($A$5,#REF!,6,FALSE)+VLOOKUP($A$5,#REF!,7,FALSE)+VLOOKUP($A$5,#REF!,8,FALSE)+VLOOKUP($A$5,#REF!,9,FALSE)</f>
        <v>#REF!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 t="e">
        <f>SUM(M63:M65)</f>
        <v>#REF!</v>
      </c>
      <c r="N66" s="7"/>
      <c r="O66" s="39" t="e">
        <f>+M66</f>
        <v>#REF!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 t="e">
        <f>SUM(O11:O66)</f>
        <v>#REF!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>
    <pageSetUpPr fitToPage="1"/>
  </sheetPr>
  <dimension ref="A1:O70"/>
  <sheetViews>
    <sheetView zoomScale="80" zoomScaleNormal="80" workbookViewId="0">
      <selection activeCell="S17" sqref="S17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19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0</v>
      </c>
      <c r="J15" s="7"/>
      <c r="K15" s="9"/>
      <c r="L15" s="7"/>
      <c r="M15" s="21">
        <v>0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14</v>
      </c>
      <c r="J16" s="7"/>
      <c r="K16" s="9"/>
      <c r="L16" s="7"/>
      <c r="M16" s="21">
        <v>34954.913229068916</v>
      </c>
      <c r="N16" s="7"/>
      <c r="O16" s="7"/>
    </row>
    <row r="17" spans="1:15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27</v>
      </c>
      <c r="J17" s="7"/>
      <c r="K17" s="9"/>
      <c r="L17" s="7"/>
      <c r="M17" s="21">
        <v>67413.04694177577</v>
      </c>
      <c r="N17" s="7"/>
      <c r="O17" s="7"/>
    </row>
    <row r="18" spans="1:15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27</v>
      </c>
      <c r="J18" s="7"/>
      <c r="K18" s="9"/>
      <c r="L18" s="7"/>
      <c r="M18" s="21">
        <v>67413.04694177577</v>
      </c>
      <c r="N18" s="7"/>
      <c r="O18" s="7"/>
    </row>
    <row r="19" spans="1:15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29</v>
      </c>
      <c r="J19" s="7"/>
      <c r="K19" s="9"/>
      <c r="L19" s="7"/>
      <c r="M19" s="21">
        <v>71473.17268997131</v>
      </c>
      <c r="N19" s="7"/>
      <c r="O19" s="7"/>
    </row>
    <row r="20" spans="1:15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30</v>
      </c>
      <c r="J20" s="7"/>
      <c r="K20" s="20"/>
      <c r="L20" s="7"/>
      <c r="M20" s="21">
        <v>73937.764851694461</v>
      </c>
      <c r="N20" s="7"/>
      <c r="O20" s="7"/>
    </row>
    <row r="21" spans="1:15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28</v>
      </c>
      <c r="J21" s="7"/>
      <c r="K21" s="20"/>
      <c r="L21" s="7"/>
      <c r="M21" s="21">
        <v>69008.58052824816</v>
      </c>
      <c r="N21" s="7"/>
      <c r="O21" s="7"/>
    </row>
    <row r="22" spans="1:15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30</v>
      </c>
      <c r="J22" s="7"/>
      <c r="K22" s="20"/>
      <c r="L22" s="7"/>
      <c r="M22" s="21">
        <v>73937.764851694461</v>
      </c>
      <c r="N22" s="7"/>
      <c r="O22" s="7"/>
    </row>
    <row r="23" spans="1:15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5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185</v>
      </c>
      <c r="J24" s="7"/>
      <c r="K24" s="20"/>
      <c r="L24" s="7"/>
      <c r="M24" s="25">
        <v>458138.29003422888</v>
      </c>
      <c r="N24" s="7"/>
      <c r="O24" s="26">
        <v>458138.29003422888</v>
      </c>
    </row>
    <row r="25" spans="1:15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5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6406.9784606748881</v>
      </c>
      <c r="N28" s="7"/>
      <c r="O28" s="7"/>
    </row>
    <row r="29" spans="1:15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7"/>
    </row>
    <row r="30" spans="1:15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14391.237375099647</v>
      </c>
      <c r="N30" s="7"/>
      <c r="O30" s="7"/>
    </row>
    <row r="31" spans="1:15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16215.710302948615</v>
      </c>
      <c r="N31" s="7"/>
      <c r="O31" s="7"/>
    </row>
    <row r="32" spans="1:15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16317.500000000002</v>
      </c>
      <c r="N32" s="7"/>
      <c r="O32" s="7"/>
    </row>
    <row r="33" spans="1:15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7375.8504426161908</v>
      </c>
      <c r="N33" s="7"/>
      <c r="O33" s="7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</row>
    <row r="35" spans="1:15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</row>
    <row r="36" spans="1:15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1741.332140625</v>
      </c>
      <c r="N36" s="7"/>
      <c r="O36" s="7"/>
    </row>
    <row r="37" spans="1:15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1676</v>
      </c>
      <c r="N37" s="7"/>
      <c r="O37" s="7"/>
    </row>
    <row r="38" spans="1:15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5442.7000000000007</v>
      </c>
      <c r="N38" s="7"/>
      <c r="O38" s="7"/>
    </row>
    <row r="39" spans="1:15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1000</v>
      </c>
      <c r="N39" s="7"/>
      <c r="O39" s="7"/>
    </row>
    <row r="40" spans="1:15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2470.3870937499996</v>
      </c>
      <c r="N40" s="7"/>
      <c r="O40" s="7"/>
    </row>
    <row r="41" spans="1:15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2541.1428461523428</v>
      </c>
      <c r="N41" s="7"/>
      <c r="O41" s="7"/>
    </row>
    <row r="42" spans="1:15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773.88321761718737</v>
      </c>
      <c r="N42" s="7"/>
      <c r="O42" s="7"/>
    </row>
    <row r="43" spans="1:15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</row>
    <row r="46" spans="1:15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486.95652173913038</v>
      </c>
      <c r="N46" s="7"/>
      <c r="O46" s="7"/>
    </row>
    <row r="47" spans="1:15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17339.963123999998</v>
      </c>
      <c r="N47" s="7"/>
      <c r="O47" s="7"/>
    </row>
    <row r="48" spans="1:15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</row>
    <row r="49" spans="1:15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</row>
    <row r="50" spans="1:15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129234.25049999999</v>
      </c>
      <c r="N50" s="7"/>
      <c r="O50" s="7"/>
    </row>
    <row r="51" spans="1:15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251071.35946522304</v>
      </c>
      <c r="N52" s="7"/>
      <c r="O52" s="31">
        <v>251071.35946522304</v>
      </c>
    </row>
    <row r="53" spans="1:15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5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5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5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</row>
    <row r="58" spans="1:15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5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98362</v>
      </c>
      <c r="N59" s="7"/>
      <c r="O59" s="7"/>
    </row>
    <row r="60" spans="1:15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5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5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5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98362</v>
      </c>
      <c r="N63" s="7"/>
      <c r="O63" s="7"/>
    </row>
    <row r="64" spans="1:15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98362</v>
      </c>
      <c r="N66" s="7"/>
      <c r="O66" s="39">
        <v>98362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807571.64949945197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pageSetUpPr fitToPage="1"/>
  </sheetPr>
  <dimension ref="A1:O70"/>
  <sheetViews>
    <sheetView workbookViewId="0">
      <selection activeCell="I11" sqref="I11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tr">
        <f>'Caldicot Comp'!A3</f>
        <v xml:space="preserve"> School Budget Share for Financial Year 1st of April 2022 to 31st March 2023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20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 t="e">
        <f>#REF!</f>
        <v>#REF!</v>
      </c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tr">
        <f>'Caldicot Comp'!I11</f>
        <v>September 2021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 t="e">
        <f>#REF!</f>
        <v>#REF!</v>
      </c>
      <c r="F15" s="7"/>
      <c r="G15" s="9"/>
      <c r="H15" s="7"/>
      <c r="I15" s="19" t="e">
        <f>VLOOKUP($A$5,#REF!,3,FALSE)</f>
        <v>#REF!</v>
      </c>
      <c r="J15" s="7"/>
      <c r="K15" s="9"/>
      <c r="L15" s="7"/>
      <c r="M15" s="21" t="e">
        <f>(I15*E15)/12*5</f>
        <v>#REF!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 t="e">
        <f>#REF!</f>
        <v>#REF!</v>
      </c>
      <c r="F16" s="7"/>
      <c r="G16" s="9"/>
      <c r="H16" s="7"/>
      <c r="I16" s="19" t="e">
        <f>VLOOKUP($A$5,#REF!,4,FALSE)</f>
        <v>#REF!</v>
      </c>
      <c r="J16" s="7"/>
      <c r="K16" s="9"/>
      <c r="L16" s="7"/>
      <c r="M16" s="21" t="e">
        <f>(I16*E16)/12*5</f>
        <v>#REF!</v>
      </c>
      <c r="N16" s="7"/>
      <c r="O16" s="7"/>
    </row>
    <row r="17" spans="1:15" ht="15" x14ac:dyDescent="0.2">
      <c r="A17" s="7"/>
      <c r="B17" s="7"/>
      <c r="C17" s="16" t="s">
        <v>2</v>
      </c>
      <c r="D17" s="7"/>
      <c r="E17" s="7" t="e">
        <f>#REF!</f>
        <v>#REF!</v>
      </c>
      <c r="F17" s="7"/>
      <c r="G17" s="9"/>
      <c r="H17" s="7"/>
      <c r="I17" s="19" t="e">
        <f>VLOOKUP($A$5,#REF!,5,FALSE)</f>
        <v>#REF!</v>
      </c>
      <c r="J17" s="7"/>
      <c r="K17" s="9"/>
      <c r="L17" s="7"/>
      <c r="M17" s="21" t="e">
        <f>(I17*E17)/12*5</f>
        <v>#REF!</v>
      </c>
      <c r="N17" s="7"/>
      <c r="O17" s="7"/>
    </row>
    <row r="18" spans="1:15" ht="15" x14ac:dyDescent="0.2">
      <c r="A18" s="7"/>
      <c r="B18" s="7"/>
      <c r="C18" s="16" t="s">
        <v>3</v>
      </c>
      <c r="D18" s="7"/>
      <c r="E18" s="7" t="e">
        <f>#REF!</f>
        <v>#REF!</v>
      </c>
      <c r="F18" s="7"/>
      <c r="G18" s="9"/>
      <c r="H18" s="7"/>
      <c r="I18" s="19" t="e">
        <f>VLOOKUP($A$5,#REF!,6,FALSE)</f>
        <v>#REF!</v>
      </c>
      <c r="J18" s="7"/>
      <c r="K18" s="9"/>
      <c r="L18" s="7"/>
      <c r="M18" s="21" t="e">
        <f>(I18*E18)/12*5</f>
        <v>#REF!</v>
      </c>
      <c r="N18" s="7"/>
      <c r="O18" s="7"/>
    </row>
    <row r="19" spans="1:15" ht="15" x14ac:dyDescent="0.2">
      <c r="A19" s="7"/>
      <c r="B19" s="7"/>
      <c r="C19" s="16" t="s">
        <v>4</v>
      </c>
      <c r="D19" s="7"/>
      <c r="E19" s="7" t="e">
        <f>#REF!</f>
        <v>#REF!</v>
      </c>
      <c r="F19" s="7"/>
      <c r="G19" s="9"/>
      <c r="H19" s="7"/>
      <c r="I19" s="19" t="e">
        <f>VLOOKUP($A$5,#REF!,7,FALSE)</f>
        <v>#REF!</v>
      </c>
      <c r="J19" s="7"/>
      <c r="K19" s="9"/>
      <c r="L19" s="7"/>
      <c r="M19" s="21" t="e">
        <f>I19*E19</f>
        <v>#REF!</v>
      </c>
      <c r="N19" s="7"/>
      <c r="O19" s="7"/>
    </row>
    <row r="20" spans="1:15" ht="15" x14ac:dyDescent="0.2">
      <c r="A20" s="7"/>
      <c r="B20" s="7"/>
      <c r="C20" s="16" t="s">
        <v>5</v>
      </c>
      <c r="D20" s="7"/>
      <c r="E20" s="7" t="e">
        <f>#REF!</f>
        <v>#REF!</v>
      </c>
      <c r="F20" s="7"/>
      <c r="G20" s="18"/>
      <c r="H20" s="7"/>
      <c r="I20" s="19" t="e">
        <f>VLOOKUP($A$5,#REF!,8,FALSE)</f>
        <v>#REF!</v>
      </c>
      <c r="J20" s="7"/>
      <c r="K20" s="20"/>
      <c r="L20" s="7"/>
      <c r="M20" s="21" t="e">
        <f>I20*E20</f>
        <v>#REF!</v>
      </c>
      <c r="N20" s="7"/>
      <c r="O20" s="7"/>
    </row>
    <row r="21" spans="1:15" ht="15" x14ac:dyDescent="0.2">
      <c r="A21" s="7"/>
      <c r="B21" s="7"/>
      <c r="C21" s="16" t="s">
        <v>6</v>
      </c>
      <c r="D21" s="7"/>
      <c r="E21" s="7" t="e">
        <f>#REF!</f>
        <v>#REF!</v>
      </c>
      <c r="F21" s="7"/>
      <c r="G21" s="18"/>
      <c r="H21" s="7"/>
      <c r="I21" s="19" t="e">
        <f>VLOOKUP($A$5,#REF!,9,FALSE)</f>
        <v>#REF!</v>
      </c>
      <c r="J21" s="7"/>
      <c r="K21" s="20"/>
      <c r="L21" s="7"/>
      <c r="M21" s="21" t="e">
        <f>I21*E21</f>
        <v>#REF!</v>
      </c>
      <c r="N21" s="7"/>
      <c r="O21" s="7"/>
    </row>
    <row r="22" spans="1:15" ht="15" x14ac:dyDescent="0.2">
      <c r="A22" s="7"/>
      <c r="B22" s="7"/>
      <c r="C22" s="16" t="s">
        <v>7</v>
      </c>
      <c r="D22" s="7"/>
      <c r="E22" s="7" t="e">
        <f>#REF!</f>
        <v>#REF!</v>
      </c>
      <c r="F22" s="7"/>
      <c r="G22" s="18"/>
      <c r="H22" s="7"/>
      <c r="I22" s="19" t="e">
        <f>VLOOKUP($A$5,#REF!,10,FALSE)</f>
        <v>#REF!</v>
      </c>
      <c r="J22" s="7"/>
      <c r="K22" s="20"/>
      <c r="L22" s="7"/>
      <c r="M22" s="21" t="e">
        <f>I22*E22</f>
        <v>#REF!</v>
      </c>
      <c r="N22" s="7"/>
      <c r="O22" s="7"/>
    </row>
    <row r="23" spans="1:15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5" ht="16.5" thickBot="1" x14ac:dyDescent="0.3">
      <c r="A24" s="7"/>
      <c r="B24" s="7"/>
      <c r="C24" s="7"/>
      <c r="D24" s="7"/>
      <c r="E24" s="7"/>
      <c r="F24" s="7"/>
      <c r="G24" s="18"/>
      <c r="H24" s="7"/>
      <c r="I24" s="80" t="e">
        <f>SUM(I15:I23)</f>
        <v>#REF!</v>
      </c>
      <c r="J24" s="7"/>
      <c r="K24" s="20"/>
      <c r="L24" s="7"/>
      <c r="M24" s="25" t="e">
        <f>SUM(M15:M23)</f>
        <v>#REF!</v>
      </c>
      <c r="N24" s="7"/>
      <c r="O24" s="26" t="e">
        <f>+M24</f>
        <v>#REF!</v>
      </c>
    </row>
    <row r="25" spans="1:15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5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 t="e">
        <f>VLOOKUP($A$5,#REF!,4,FALSE)</f>
        <v>#REF!</v>
      </c>
      <c r="N28" s="7"/>
      <c r="O28" s="7"/>
    </row>
    <row r="29" spans="1:15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 t="e">
        <f>VLOOKUP($A$5,#REF!,3,FALSE)</f>
        <v>#REF!</v>
      </c>
      <c r="N29" s="7"/>
      <c r="O29" s="7"/>
    </row>
    <row r="30" spans="1:15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 t="e">
        <f>VLOOKUP($A$5,#REF!,5,FALSE)</f>
        <v>#REF!</v>
      </c>
      <c r="N30" s="7"/>
      <c r="O30" s="7"/>
    </row>
    <row r="31" spans="1:15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 t="e">
        <f>VLOOKUP($A$5,#REF!,6,FALSE)</f>
        <v>#REF!</v>
      </c>
      <c r="N31" s="7"/>
      <c r="O31" s="7"/>
    </row>
    <row r="32" spans="1:15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 t="e">
        <f>VLOOKUP($A$5,#REF!,7,FALSE)</f>
        <v>#REF!</v>
      </c>
      <c r="N32" s="7"/>
      <c r="O32" s="7"/>
    </row>
    <row r="33" spans="1:15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 t="e">
        <f>VLOOKUP($A$5,#REF!,8,FALSE)</f>
        <v>#REF!</v>
      </c>
      <c r="N33" s="7"/>
      <c r="O33" s="7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</row>
    <row r="35" spans="1:15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 t="e">
        <f>VLOOKUP($A$5,#REF!,3,FALSE)</f>
        <v>#REF!</v>
      </c>
      <c r="N35" s="7"/>
      <c r="O35" s="7"/>
    </row>
    <row r="36" spans="1:15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 t="e">
        <f>VLOOKUP($A$5,#REF!,4,FALSE)</f>
        <v>#REF!</v>
      </c>
      <c r="N36" s="7"/>
      <c r="O36" s="7"/>
    </row>
    <row r="37" spans="1:15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 t="e">
        <f>VLOOKUP($A$5,#REF!,7,FALSE)</f>
        <v>#REF!</v>
      </c>
      <c r="N37" s="7"/>
      <c r="O37" s="7"/>
    </row>
    <row r="38" spans="1:15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 t="e">
        <f>VLOOKUP($A$5,#REF!,6,FALSE)</f>
        <v>#REF!</v>
      </c>
      <c r="N38" s="7"/>
      <c r="O38" s="7"/>
    </row>
    <row r="39" spans="1:15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 t="e">
        <f>VLOOKUP($A$5,#REF!,9,FALSE)</f>
        <v>#REF!</v>
      </c>
      <c r="N39" s="7"/>
      <c r="O39" s="7"/>
    </row>
    <row r="40" spans="1:15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 t="e">
        <f>VLOOKUP($A$5,#REF!,8,FALSE)</f>
        <v>#REF!</v>
      </c>
      <c r="N40" s="7"/>
      <c r="O40" s="7"/>
    </row>
    <row r="41" spans="1:15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 t="e">
        <f>VLOOKUP($A$5,#REF!,10,FALSE)</f>
        <v>#REF!</v>
      </c>
      <c r="N41" s="7"/>
      <c r="O41" s="7"/>
    </row>
    <row r="42" spans="1:15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 t="e">
        <f>VLOOKUP($A$5,#REF!,11,FALSE)</f>
        <v>#REF!</v>
      </c>
      <c r="N42" s="7"/>
      <c r="O42" s="7"/>
    </row>
    <row r="43" spans="1:15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 t="e">
        <f>#REF!</f>
        <v>#REF!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 t="e">
        <f>VLOOKUP($A$5,#REF!,5,FALSE)</f>
        <v>#REF!</v>
      </c>
      <c r="N45" s="7"/>
      <c r="O45" s="7"/>
    </row>
    <row r="46" spans="1:15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 t="e">
        <f>VLOOKUP($A$5,#REF!,6,FALSE)</f>
        <v>#REF!</v>
      </c>
      <c r="N46" s="7"/>
      <c r="O46" s="7"/>
    </row>
    <row r="47" spans="1:15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 t="e">
        <f>VLOOKUP($A$5,#REF!,3,FALSE)+VLOOKUP($A$5,#REF!,4,FALSE)</f>
        <v>#REF!</v>
      </c>
      <c r="N47" s="7"/>
      <c r="O47" s="7"/>
    </row>
    <row r="48" spans="1:15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</row>
    <row r="49" spans="1:15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f>VLOOKUP($A$5,Threshold!$A$6:$I$728,9,FALSE)</f>
        <v>0</v>
      </c>
      <c r="N49" s="7"/>
      <c r="O49" s="7"/>
    </row>
    <row r="50" spans="1:15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 t="e">
        <f>VLOOKUP($A$5,#REF!,13,FALSE)</f>
        <v>#REF!</v>
      </c>
      <c r="N50" s="7"/>
      <c r="O50" s="7"/>
    </row>
    <row r="51" spans="1:15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 t="e">
        <f>SUM(M28:M50)</f>
        <v>#REF!</v>
      </c>
      <c r="N52" s="7"/>
      <c r="O52" s="31" t="e">
        <f>+M52</f>
        <v>#REF!</v>
      </c>
    </row>
    <row r="53" spans="1:15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5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5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5" ht="15" x14ac:dyDescent="0.2">
      <c r="A57" s="7"/>
      <c r="B57" s="7"/>
      <c r="C57" s="7" t="s">
        <v>75</v>
      </c>
      <c r="D57" s="7"/>
      <c r="E57" s="11"/>
      <c r="F57" s="7"/>
      <c r="G57" s="7"/>
      <c r="H57" s="7"/>
      <c r="I57" s="7"/>
      <c r="J57" s="7"/>
      <c r="K57" s="7"/>
      <c r="L57" s="7"/>
      <c r="M57" s="27" t="e">
        <f>VLOOKUP($A$5,#REF!,3,FALSE)</f>
        <v>#REF!</v>
      </c>
      <c r="N57" s="7"/>
      <c r="O57" s="7"/>
    </row>
    <row r="58" spans="1:15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5" ht="15" x14ac:dyDescent="0.2">
      <c r="A59" s="7"/>
      <c r="B59" s="7"/>
      <c r="C59" s="29" t="s">
        <v>76</v>
      </c>
      <c r="D59" s="7"/>
      <c r="E59" s="36"/>
      <c r="F59" s="7"/>
      <c r="G59" s="12"/>
      <c r="H59" s="7"/>
      <c r="I59" s="12"/>
      <c r="J59" s="7"/>
      <c r="K59" s="12"/>
      <c r="L59" s="7"/>
      <c r="M59" s="27" t="e">
        <f>VLOOKUP($A$5,#REF!,4,FALSE)</f>
        <v>#REF!</v>
      </c>
      <c r="N59" s="7"/>
      <c r="O59" s="7"/>
    </row>
    <row r="60" spans="1:15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5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5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5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 t="e">
        <f>SUM(M57:M62)</f>
        <v>#REF!</v>
      </c>
      <c r="N63" s="7"/>
      <c r="O63" s="7"/>
    </row>
    <row r="64" spans="1:15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 t="e">
        <f>VLOOKUP($A$5,#REF!,5,FALSE)+VLOOKUP($A$5,#REF!,6,FALSE)+VLOOKUP($A$5,#REF!,7,FALSE)+VLOOKUP($A$5,#REF!,8,FALSE)+VLOOKUP($A$5,#REF!,9,FALSE)</f>
        <v>#REF!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 t="e">
        <f>SUM(M63:M65)</f>
        <v>#REF!</v>
      </c>
      <c r="N66" s="7"/>
      <c r="O66" s="39" t="e">
        <f>+M66</f>
        <v>#REF!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 t="e">
        <f>SUM(O11:O66)</f>
        <v>#REF!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>
    <pageSetUpPr fitToPage="1"/>
  </sheetPr>
  <dimension ref="A1:T70"/>
  <sheetViews>
    <sheetView zoomScale="80" zoomScaleNormal="80" workbookViewId="0">
      <selection activeCell="R15" sqref="R15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21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13</v>
      </c>
      <c r="J15" s="7"/>
      <c r="K15" s="9"/>
      <c r="L15" s="7"/>
      <c r="M15" s="21">
        <v>32467.042121489772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29</v>
      </c>
      <c r="J16" s="7"/>
      <c r="K16" s="9"/>
      <c r="L16" s="7"/>
      <c r="M16" s="21">
        <v>72406.605974499893</v>
      </c>
      <c r="N16" s="7"/>
      <c r="O16" s="7"/>
    </row>
    <row r="17" spans="1:20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30</v>
      </c>
      <c r="J17" s="7"/>
      <c r="K17" s="9"/>
      <c r="L17" s="7"/>
      <c r="M17" s="21">
        <v>74903.385490861954</v>
      </c>
      <c r="N17" s="7"/>
      <c r="O17" s="7"/>
    </row>
    <row r="18" spans="1:20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30</v>
      </c>
      <c r="J18" s="7"/>
      <c r="K18" s="9"/>
      <c r="L18" s="7"/>
      <c r="M18" s="21">
        <v>74903.385490861954</v>
      </c>
      <c r="N18" s="7"/>
      <c r="O18" s="7"/>
    </row>
    <row r="19" spans="1:20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30</v>
      </c>
      <c r="J19" s="7"/>
      <c r="K19" s="9"/>
      <c r="L19" s="7"/>
      <c r="M19" s="21">
        <v>73937.764851694461</v>
      </c>
      <c r="N19" s="7"/>
      <c r="O19" s="7"/>
    </row>
    <row r="20" spans="1:20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29</v>
      </c>
      <c r="J20" s="7"/>
      <c r="K20" s="20"/>
      <c r="L20" s="7"/>
      <c r="M20" s="21">
        <v>71473.17268997131</v>
      </c>
      <c r="N20" s="7"/>
      <c r="O20" s="7"/>
    </row>
    <row r="21" spans="1:20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30</v>
      </c>
      <c r="J21" s="7"/>
      <c r="K21" s="20"/>
      <c r="L21" s="7"/>
      <c r="M21" s="21">
        <v>73937.764851694461</v>
      </c>
      <c r="N21" s="7"/>
      <c r="O21" s="7"/>
    </row>
    <row r="22" spans="1:20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30</v>
      </c>
      <c r="J22" s="7"/>
      <c r="K22" s="20"/>
      <c r="L22" s="7"/>
      <c r="M22" s="21">
        <v>73937.764851694461</v>
      </c>
      <c r="N22" s="7"/>
      <c r="O22" s="7"/>
    </row>
    <row r="23" spans="1:20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20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221</v>
      </c>
      <c r="J24" s="7"/>
      <c r="K24" s="20"/>
      <c r="L24" s="7"/>
      <c r="M24" s="25">
        <v>547966.88632276829</v>
      </c>
      <c r="N24" s="7"/>
      <c r="O24" s="26">
        <v>547966.88632276829</v>
      </c>
    </row>
    <row r="25" spans="1:20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20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20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20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7259.2829348013647</v>
      </c>
      <c r="N28" s="7"/>
      <c r="O28" s="7"/>
      <c r="T28" s="82"/>
    </row>
    <row r="29" spans="1:20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7"/>
      <c r="T29" s="82"/>
    </row>
    <row r="30" spans="1:20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16305.668035089968</v>
      </c>
      <c r="N30" s="7"/>
      <c r="O30" s="7"/>
      <c r="T30" s="82"/>
    </row>
    <row r="31" spans="1:20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18372.846077194074</v>
      </c>
      <c r="N31" s="7"/>
      <c r="O31" s="7"/>
      <c r="T31" s="82"/>
    </row>
    <row r="32" spans="1:20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16451.25</v>
      </c>
      <c r="N32" s="7"/>
      <c r="O32" s="7"/>
      <c r="T32" s="82"/>
    </row>
    <row r="33" spans="1:20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3133.163232471898</v>
      </c>
      <c r="N33" s="7"/>
      <c r="O33" s="7"/>
      <c r="T33" s="82"/>
    </row>
    <row r="34" spans="1:20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  <c r="T34" s="82"/>
    </row>
    <row r="35" spans="1:20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  <c r="T35" s="82"/>
    </row>
    <row r="36" spans="1:20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1741.332140625</v>
      </c>
      <c r="N36" s="7"/>
      <c r="O36" s="7"/>
      <c r="T36" s="82"/>
    </row>
    <row r="37" spans="1:20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1676</v>
      </c>
      <c r="N37" s="7"/>
      <c r="O37" s="7"/>
      <c r="T37" s="82"/>
    </row>
    <row r="38" spans="1:20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6501.8200000000006</v>
      </c>
      <c r="N38" s="7"/>
      <c r="O38" s="7"/>
      <c r="T38" s="82"/>
    </row>
    <row r="39" spans="1:20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1000</v>
      </c>
      <c r="N39" s="7"/>
      <c r="O39" s="7"/>
      <c r="T39" s="82"/>
    </row>
    <row r="40" spans="1:20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2470.3870937499996</v>
      </c>
      <c r="N40" s="7"/>
      <c r="O40" s="7"/>
      <c r="T40" s="82"/>
    </row>
    <row r="41" spans="1:20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847.42475145507785</v>
      </c>
      <c r="N41" s="7"/>
      <c r="O41" s="7"/>
      <c r="T41" s="82"/>
    </row>
    <row r="42" spans="1:20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257.9610725390624</v>
      </c>
      <c r="N42" s="7"/>
      <c r="O42" s="7"/>
      <c r="T42" s="82"/>
    </row>
    <row r="43" spans="1:20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  <c r="T43" s="82"/>
    </row>
    <row r="44" spans="1:20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  <c r="T44" s="82"/>
    </row>
    <row r="45" spans="1:20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  <c r="T45" s="82"/>
    </row>
    <row r="46" spans="1:20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0</v>
      </c>
      <c r="N46" s="7"/>
      <c r="O46" s="7"/>
      <c r="T46" s="82"/>
    </row>
    <row r="47" spans="1:20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28899.938539999999</v>
      </c>
      <c r="N47" s="7"/>
      <c r="O47" s="7"/>
      <c r="T47" s="82"/>
    </row>
    <row r="48" spans="1:20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  <c r="T48" s="82"/>
    </row>
    <row r="49" spans="1:20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  <c r="T49" s="82"/>
    </row>
    <row r="50" spans="1:20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118851.4801</v>
      </c>
      <c r="N50" s="7"/>
      <c r="O50" s="7"/>
      <c r="T50" s="82"/>
    </row>
    <row r="51" spans="1:20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T51" s="82"/>
    </row>
    <row r="52" spans="1:20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251426.02141792647</v>
      </c>
      <c r="N52" s="7"/>
      <c r="O52" s="31">
        <v>251426.02141792647</v>
      </c>
      <c r="T52" s="82"/>
    </row>
    <row r="53" spans="1:20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  <c r="T53" s="82"/>
    </row>
    <row r="54" spans="1:20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T54" s="82"/>
    </row>
    <row r="55" spans="1:20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  <c r="T55" s="82"/>
    </row>
    <row r="56" spans="1:20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  <c r="T56" s="82"/>
    </row>
    <row r="57" spans="1:20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  <c r="T57" s="82"/>
    </row>
    <row r="58" spans="1:20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  <c r="T58" s="82"/>
    </row>
    <row r="59" spans="1:20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62129</v>
      </c>
      <c r="N59" s="7"/>
      <c r="O59" s="7"/>
      <c r="T59" s="82"/>
    </row>
    <row r="60" spans="1:20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20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20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20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62129</v>
      </c>
      <c r="N63" s="7"/>
      <c r="O63" s="7"/>
    </row>
    <row r="64" spans="1:20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62129</v>
      </c>
      <c r="N66" s="7"/>
      <c r="O66" s="39">
        <v>62129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861521.9077406947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pageSetUpPr fitToPage="1"/>
  </sheetPr>
  <dimension ref="A1:S70"/>
  <sheetViews>
    <sheetView zoomScale="80" zoomScaleNormal="80" workbookViewId="0">
      <selection activeCell="R14" sqref="R14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22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0</v>
      </c>
      <c r="J15" s="7"/>
      <c r="K15" s="9"/>
      <c r="L15" s="7"/>
      <c r="M15" s="21">
        <v>0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26</v>
      </c>
      <c r="J16" s="7"/>
      <c r="K16" s="9"/>
      <c r="L16" s="7"/>
      <c r="M16" s="21">
        <v>64916.267425413702</v>
      </c>
      <c r="N16" s="7"/>
      <c r="O16" s="7"/>
    </row>
    <row r="17" spans="1:19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17</v>
      </c>
      <c r="J17" s="7"/>
      <c r="K17" s="9"/>
      <c r="L17" s="7"/>
      <c r="M17" s="21">
        <v>42445.251778155114</v>
      </c>
      <c r="N17" s="7"/>
      <c r="O17" s="7"/>
    </row>
    <row r="18" spans="1:19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23</v>
      </c>
      <c r="J18" s="7"/>
      <c r="K18" s="9"/>
      <c r="L18" s="7"/>
      <c r="M18" s="21">
        <v>57425.928876327504</v>
      </c>
      <c r="N18" s="7"/>
      <c r="O18" s="7"/>
    </row>
    <row r="19" spans="1:19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27</v>
      </c>
      <c r="J19" s="7"/>
      <c r="K19" s="9"/>
      <c r="L19" s="7"/>
      <c r="M19" s="21">
        <v>66543.988366525024</v>
      </c>
      <c r="N19" s="7"/>
      <c r="O19" s="7"/>
    </row>
    <row r="20" spans="1:19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22</v>
      </c>
      <c r="J20" s="7"/>
      <c r="K20" s="20"/>
      <c r="L20" s="7"/>
      <c r="M20" s="21">
        <v>54221.02755790927</v>
      </c>
      <c r="N20" s="7"/>
      <c r="O20" s="7"/>
    </row>
    <row r="21" spans="1:19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27</v>
      </c>
      <c r="J21" s="7"/>
      <c r="K21" s="20"/>
      <c r="L21" s="7"/>
      <c r="M21" s="21">
        <v>66543.988366525024</v>
      </c>
      <c r="N21" s="7"/>
      <c r="O21" s="7"/>
    </row>
    <row r="22" spans="1:19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30</v>
      </c>
      <c r="J22" s="7"/>
      <c r="K22" s="20"/>
      <c r="L22" s="7"/>
      <c r="M22" s="21">
        <v>73937.764851694461</v>
      </c>
      <c r="N22" s="7"/>
      <c r="O22" s="7"/>
    </row>
    <row r="23" spans="1:19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9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172</v>
      </c>
      <c r="J24" s="7"/>
      <c r="K24" s="20"/>
      <c r="L24" s="7"/>
      <c r="M24" s="25">
        <v>426034.21722255007</v>
      </c>
      <c r="N24" s="7"/>
      <c r="O24" s="26">
        <v>426034.21722255007</v>
      </c>
    </row>
    <row r="25" spans="1:19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9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9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9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4537.0518342508531</v>
      </c>
      <c r="N28" s="7"/>
      <c r="O28" s="7"/>
      <c r="R28" s="150"/>
      <c r="S28" s="82"/>
    </row>
    <row r="29" spans="1:19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7"/>
      <c r="R29" s="150"/>
      <c r="S29" s="82"/>
    </row>
    <row r="30" spans="1:19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10191.042521931229</v>
      </c>
      <c r="N30" s="7"/>
      <c r="O30" s="7"/>
      <c r="R30" s="150"/>
      <c r="S30" s="82"/>
    </row>
    <row r="31" spans="1:19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11483.028798246296</v>
      </c>
      <c r="N31" s="7"/>
      <c r="O31" s="7"/>
      <c r="R31" s="150"/>
      <c r="S31" s="82"/>
    </row>
    <row r="32" spans="1:19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18190</v>
      </c>
      <c r="N32" s="7"/>
      <c r="O32" s="7"/>
      <c r="R32" s="150"/>
      <c r="S32" s="82"/>
    </row>
    <row r="33" spans="1:19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8641.0389783500868</v>
      </c>
      <c r="N33" s="7"/>
      <c r="O33" s="7"/>
      <c r="R33" s="150"/>
      <c r="S33" s="82"/>
    </row>
    <row r="34" spans="1:19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  <c r="R34" s="150"/>
      <c r="S34" s="82"/>
    </row>
    <row r="35" spans="1:19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  <c r="R35" s="150"/>
      <c r="S35" s="82"/>
    </row>
    <row r="36" spans="1:19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1741.332140625</v>
      </c>
      <c r="N36" s="7"/>
      <c r="O36" s="7"/>
      <c r="R36" s="150"/>
      <c r="S36" s="82"/>
    </row>
    <row r="37" spans="1:19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1676</v>
      </c>
      <c r="N37" s="7"/>
      <c r="O37" s="7"/>
      <c r="R37" s="150"/>
      <c r="S37" s="82"/>
    </row>
    <row r="38" spans="1:19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5060.2400000000007</v>
      </c>
      <c r="N38" s="7"/>
      <c r="O38" s="7"/>
      <c r="R38" s="150"/>
      <c r="S38" s="82"/>
    </row>
    <row r="39" spans="1:19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1000</v>
      </c>
      <c r="N39" s="7"/>
      <c r="O39" s="7"/>
      <c r="R39" s="150"/>
      <c r="S39" s="82"/>
    </row>
    <row r="40" spans="1:19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2470.3870937499996</v>
      </c>
      <c r="N40" s="7"/>
      <c r="O40" s="7"/>
      <c r="R40" s="150"/>
      <c r="S40" s="82"/>
    </row>
    <row r="41" spans="1:19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1693.7180946972651</v>
      </c>
      <c r="N41" s="7"/>
      <c r="O41" s="7"/>
      <c r="R41" s="150"/>
      <c r="S41" s="82"/>
    </row>
    <row r="42" spans="1:19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515.9221450781248</v>
      </c>
      <c r="N42" s="7"/>
      <c r="O42" s="7"/>
      <c r="R42" s="150"/>
      <c r="S42" s="82"/>
    </row>
    <row r="43" spans="1:19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  <c r="R43" s="150"/>
      <c r="S43" s="82"/>
    </row>
    <row r="44" spans="1:19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  <c r="R44" s="150"/>
      <c r="S44" s="82"/>
    </row>
    <row r="45" spans="1:19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  <c r="R45" s="150"/>
      <c r="S45" s="82"/>
    </row>
    <row r="46" spans="1:19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0</v>
      </c>
      <c r="N46" s="7"/>
      <c r="O46" s="7"/>
      <c r="R46" s="150"/>
      <c r="S46" s="82"/>
    </row>
    <row r="47" spans="1:19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17339.963123999998</v>
      </c>
      <c r="N47" s="7"/>
      <c r="O47" s="7"/>
      <c r="R47" s="150"/>
      <c r="S47" s="82"/>
    </row>
    <row r="48" spans="1:19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  <c r="R48" s="150"/>
      <c r="S48" s="82"/>
    </row>
    <row r="49" spans="1:19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  <c r="R49" s="150"/>
      <c r="S49" s="82"/>
    </row>
    <row r="50" spans="1:19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146106.2524</v>
      </c>
      <c r="N50" s="7"/>
      <c r="O50" s="7"/>
      <c r="R50" s="150"/>
      <c r="S50" s="82"/>
    </row>
    <row r="51" spans="1:19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9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258303.44457092887</v>
      </c>
      <c r="N52" s="7"/>
      <c r="O52" s="31">
        <v>258303.44457092887</v>
      </c>
    </row>
    <row r="53" spans="1:19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9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9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9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9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</row>
    <row r="58" spans="1:19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9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52347</v>
      </c>
      <c r="N59" s="7"/>
      <c r="O59" s="7"/>
    </row>
    <row r="60" spans="1:19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9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9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9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52347</v>
      </c>
      <c r="N63" s="7"/>
      <c r="O63" s="7"/>
    </row>
    <row r="64" spans="1:19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52347</v>
      </c>
      <c r="N66" s="7"/>
      <c r="O66" s="39">
        <v>52347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736684.661793479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9">
    <pageSetUpPr fitToPage="1"/>
  </sheetPr>
  <dimension ref="A1:U70"/>
  <sheetViews>
    <sheetView zoomScale="80" zoomScaleNormal="80" workbookViewId="0">
      <selection activeCell="R15" sqref="R15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23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22</v>
      </c>
      <c r="J15" s="7"/>
      <c r="K15" s="9"/>
      <c r="L15" s="7"/>
      <c r="M15" s="21">
        <v>54944.225128674996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23</v>
      </c>
      <c r="J16" s="7"/>
      <c r="K16" s="9"/>
      <c r="L16" s="7"/>
      <c r="M16" s="21">
        <v>57425.928876327504</v>
      </c>
      <c r="N16" s="7"/>
      <c r="O16" s="7"/>
    </row>
    <row r="17" spans="1:21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32</v>
      </c>
      <c r="J17" s="7"/>
      <c r="K17" s="9"/>
      <c r="L17" s="7"/>
      <c r="M17" s="21">
        <v>79896.944523586091</v>
      </c>
      <c r="N17" s="7"/>
      <c r="O17" s="7"/>
    </row>
    <row r="18" spans="1:21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40</v>
      </c>
      <c r="J18" s="7"/>
      <c r="K18" s="9"/>
      <c r="L18" s="7"/>
      <c r="M18" s="21">
        <v>99871.18065448261</v>
      </c>
      <c r="N18" s="7"/>
      <c r="O18" s="7"/>
    </row>
    <row r="19" spans="1:21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37</v>
      </c>
      <c r="J19" s="7"/>
      <c r="K19" s="9"/>
      <c r="L19" s="7"/>
      <c r="M19" s="21">
        <v>91189.909983756501</v>
      </c>
      <c r="N19" s="7"/>
      <c r="O19" s="7"/>
    </row>
    <row r="20" spans="1:21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43</v>
      </c>
      <c r="J20" s="7"/>
      <c r="K20" s="20"/>
      <c r="L20" s="7"/>
      <c r="M20" s="21">
        <v>105977.4629540954</v>
      </c>
      <c r="N20" s="7"/>
      <c r="O20" s="7"/>
    </row>
    <row r="21" spans="1:21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41</v>
      </c>
      <c r="J21" s="7"/>
      <c r="K21" s="20"/>
      <c r="L21" s="7"/>
      <c r="M21" s="21">
        <v>101048.2786306491</v>
      </c>
      <c r="N21" s="7"/>
      <c r="O21" s="7"/>
    </row>
    <row r="22" spans="1:21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43</v>
      </c>
      <c r="J22" s="7"/>
      <c r="K22" s="20"/>
      <c r="L22" s="7"/>
      <c r="M22" s="21">
        <v>105977.4629540954</v>
      </c>
      <c r="N22" s="7"/>
      <c r="O22" s="7"/>
    </row>
    <row r="23" spans="1:21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21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281</v>
      </c>
      <c r="J24" s="7"/>
      <c r="K24" s="20"/>
      <c r="L24" s="7"/>
      <c r="M24" s="25">
        <v>696331.3937056677</v>
      </c>
      <c r="N24" s="7"/>
      <c r="O24" s="26">
        <v>696331.3937056677</v>
      </c>
    </row>
    <row r="25" spans="1:21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21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21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21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15216.573844102861</v>
      </c>
      <c r="N28" s="7"/>
      <c r="O28" s="7"/>
      <c r="Q28" s="150"/>
      <c r="R28" s="82"/>
      <c r="U28" s="82"/>
    </row>
    <row r="29" spans="1:21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7"/>
      <c r="Q29" s="150"/>
      <c r="R29" s="82"/>
      <c r="U29" s="82"/>
    </row>
    <row r="30" spans="1:21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34179.188765861662</v>
      </c>
      <c r="N30" s="7"/>
      <c r="O30" s="7"/>
      <c r="Q30" s="150"/>
      <c r="R30" s="82"/>
      <c r="U30" s="82"/>
    </row>
    <row r="31" spans="1:21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38512.31196950296</v>
      </c>
      <c r="N31" s="7"/>
      <c r="O31" s="7"/>
      <c r="Q31" s="150"/>
      <c r="R31" s="82"/>
      <c r="U31" s="82"/>
    </row>
    <row r="32" spans="1:21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31832.500000000004</v>
      </c>
      <c r="N32" s="7"/>
      <c r="O32" s="7"/>
      <c r="Q32" s="150"/>
      <c r="R32" s="82"/>
      <c r="U32" s="82"/>
    </row>
    <row r="33" spans="1:21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3454.4283842158452</v>
      </c>
      <c r="N33" s="7"/>
      <c r="O33" s="7"/>
      <c r="Q33" s="150"/>
      <c r="R33" s="82"/>
      <c r="U33" s="82"/>
    </row>
    <row r="34" spans="1:21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  <c r="Q34" s="150"/>
      <c r="R34" s="82"/>
      <c r="U34" s="82"/>
    </row>
    <row r="35" spans="1:21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  <c r="Q35" s="150"/>
      <c r="R35" s="82"/>
      <c r="U35" s="82"/>
    </row>
    <row r="36" spans="1:21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1741.332140625</v>
      </c>
      <c r="N36" s="7"/>
      <c r="O36" s="7"/>
      <c r="Q36" s="150"/>
      <c r="R36" s="82"/>
      <c r="U36" s="82"/>
    </row>
    <row r="37" spans="1:21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1676</v>
      </c>
      <c r="N37" s="7"/>
      <c r="O37" s="7"/>
      <c r="Q37" s="150"/>
      <c r="R37" s="82"/>
      <c r="U37" s="82"/>
    </row>
    <row r="38" spans="1:21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8267.02</v>
      </c>
      <c r="N38" s="7"/>
      <c r="O38" s="7"/>
      <c r="Q38" s="150"/>
      <c r="R38" s="82"/>
      <c r="U38" s="82"/>
    </row>
    <row r="39" spans="1:21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1000</v>
      </c>
      <c r="N39" s="7"/>
      <c r="O39" s="7"/>
      <c r="Q39" s="150"/>
      <c r="R39" s="82"/>
      <c r="U39" s="82"/>
    </row>
    <row r="40" spans="1:21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2470.3870937499996</v>
      </c>
      <c r="N40" s="7"/>
      <c r="O40" s="7"/>
      <c r="Q40" s="150"/>
      <c r="R40" s="82"/>
      <c r="U40" s="82"/>
    </row>
    <row r="41" spans="1:21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2541.1428461523428</v>
      </c>
      <c r="N41" s="7"/>
      <c r="O41" s="7"/>
      <c r="Q41" s="150"/>
      <c r="R41" s="82"/>
      <c r="U41" s="82"/>
    </row>
    <row r="42" spans="1:21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773.88321761718737</v>
      </c>
      <c r="N42" s="7"/>
      <c r="O42" s="7"/>
      <c r="Q42" s="150"/>
      <c r="R42" s="82"/>
      <c r="U42" s="82"/>
    </row>
    <row r="43" spans="1:21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  <c r="Q43" s="150"/>
      <c r="R43" s="82"/>
      <c r="U43" s="82"/>
    </row>
    <row r="44" spans="1:21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  <c r="Q44" s="150"/>
      <c r="R44" s="82"/>
      <c r="U44" s="82"/>
    </row>
    <row r="45" spans="1:21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  <c r="Q45" s="150"/>
      <c r="R45" s="82"/>
      <c r="U45" s="82"/>
    </row>
    <row r="46" spans="1:21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1104.3478260869565</v>
      </c>
      <c r="N46" s="7"/>
      <c r="O46" s="7"/>
      <c r="Q46" s="150"/>
      <c r="R46" s="82"/>
      <c r="U46" s="82"/>
    </row>
    <row r="47" spans="1:21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28899.938539999999</v>
      </c>
      <c r="N47" s="7"/>
      <c r="O47" s="7"/>
      <c r="Q47" s="150"/>
      <c r="R47" s="82"/>
      <c r="U47" s="82"/>
    </row>
    <row r="48" spans="1:21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  <c r="Q48" s="150"/>
      <c r="R48" s="82"/>
      <c r="U48" s="82"/>
    </row>
    <row r="49" spans="1:21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  <c r="Q49" s="150"/>
      <c r="R49" s="82"/>
      <c r="U49" s="82"/>
    </row>
    <row r="50" spans="1:21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155989.85114615381</v>
      </c>
      <c r="N50" s="7"/>
      <c r="O50" s="7"/>
      <c r="Q50" s="150"/>
      <c r="R50" s="82"/>
      <c r="U50" s="82"/>
    </row>
    <row r="51" spans="1:21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Q51" s="151"/>
      <c r="R51" s="82"/>
      <c r="U51" s="82"/>
    </row>
    <row r="52" spans="1:21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355316.37321406859</v>
      </c>
      <c r="N52" s="7"/>
      <c r="O52" s="31">
        <v>355316.37321406859</v>
      </c>
      <c r="R52" s="82"/>
      <c r="U52" s="82"/>
    </row>
    <row r="53" spans="1:21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  <c r="U53" s="82"/>
    </row>
    <row r="54" spans="1:21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U54" s="82"/>
    </row>
    <row r="55" spans="1:21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  <c r="U55" s="82"/>
    </row>
    <row r="56" spans="1:21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  <c r="U56" s="82"/>
    </row>
    <row r="57" spans="1:21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  <c r="U57" s="82"/>
    </row>
    <row r="58" spans="1:21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  <c r="U58" s="82"/>
    </row>
    <row r="59" spans="1:21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151043</v>
      </c>
      <c r="N59" s="7"/>
      <c r="O59" s="7"/>
      <c r="U59" s="82"/>
    </row>
    <row r="60" spans="1:21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  <c r="U60" s="82"/>
    </row>
    <row r="61" spans="1:21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  <c r="U61" s="82"/>
    </row>
    <row r="62" spans="1:21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  <c r="U62" s="82"/>
    </row>
    <row r="63" spans="1:21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151043</v>
      </c>
      <c r="N63" s="7"/>
      <c r="O63" s="7"/>
      <c r="U63" s="82"/>
    </row>
    <row r="64" spans="1:21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  <c r="U64" s="82"/>
    </row>
    <row r="65" spans="1:21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  <c r="U65" s="82"/>
    </row>
    <row r="66" spans="1:21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151043</v>
      </c>
      <c r="N66" s="7"/>
      <c r="O66" s="39">
        <v>151043</v>
      </c>
      <c r="U66" s="82"/>
    </row>
    <row r="67" spans="1:21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21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1202690.7669197363</v>
      </c>
    </row>
    <row r="69" spans="1:21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21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4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70"/>
  <sheetViews>
    <sheetView zoomScale="80" zoomScaleNormal="80" workbookViewId="0">
      <selection activeCell="Q15" sqref="Q15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" width="9.140625" style="1"/>
    <col min="17" max="17" width="10.7109375" style="1" customWidth="1"/>
    <col min="18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683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17.5</v>
      </c>
      <c r="J15" s="7"/>
      <c r="K15" s="9"/>
      <c r="L15" s="7"/>
      <c r="M15" s="341">
        <v>43705.633625082388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30</v>
      </c>
      <c r="J16" s="7"/>
      <c r="K16" s="9"/>
      <c r="L16" s="7"/>
      <c r="M16" s="341">
        <v>74903.385490861954</v>
      </c>
      <c r="N16" s="7"/>
      <c r="O16" s="7"/>
    </row>
    <row r="17" spans="1:18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30</v>
      </c>
      <c r="J17" s="7"/>
      <c r="K17" s="9"/>
      <c r="L17" s="7"/>
      <c r="M17" s="341">
        <v>74903.385490861954</v>
      </c>
      <c r="N17" s="7"/>
      <c r="O17" s="7"/>
    </row>
    <row r="18" spans="1:18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31</v>
      </c>
      <c r="J18" s="7"/>
      <c r="K18" s="9"/>
      <c r="L18" s="7"/>
      <c r="M18" s="341">
        <v>77400.16500722403</v>
      </c>
      <c r="N18" s="7"/>
      <c r="O18" s="7"/>
    </row>
    <row r="19" spans="1:18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31</v>
      </c>
      <c r="J19" s="7"/>
      <c r="K19" s="9"/>
      <c r="L19" s="7"/>
      <c r="M19" s="341">
        <v>76402.357013417612</v>
      </c>
      <c r="N19" s="7"/>
      <c r="O19" s="7"/>
    </row>
    <row r="20" spans="1:18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29</v>
      </c>
      <c r="J20" s="7"/>
      <c r="K20" s="20"/>
      <c r="L20" s="7"/>
      <c r="M20" s="341">
        <v>71473.17268997131</v>
      </c>
      <c r="N20" s="7"/>
      <c r="O20" s="7"/>
    </row>
    <row r="21" spans="1:18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32</v>
      </c>
      <c r="J21" s="7"/>
      <c r="K21" s="20"/>
      <c r="L21" s="7"/>
      <c r="M21" s="341">
        <v>78866.949175140762</v>
      </c>
      <c r="N21" s="7"/>
      <c r="O21" s="7"/>
    </row>
    <row r="22" spans="1:18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30</v>
      </c>
      <c r="J22" s="7"/>
      <c r="K22" s="20"/>
      <c r="L22" s="7"/>
      <c r="M22" s="341">
        <v>73937.764851694461</v>
      </c>
      <c r="N22" s="7"/>
      <c r="O22" s="7"/>
    </row>
    <row r="23" spans="1:18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8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230.5</v>
      </c>
      <c r="J24" s="7"/>
      <c r="K24" s="20"/>
      <c r="L24" s="7"/>
      <c r="M24" s="25">
        <v>571592.81334425439</v>
      </c>
      <c r="N24" s="7"/>
      <c r="O24" s="26">
        <v>571592.81334425439</v>
      </c>
    </row>
    <row r="25" spans="1:18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8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8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8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5163.5567532217265</v>
      </c>
      <c r="N28" s="7"/>
      <c r="O28" s="7"/>
      <c r="Q28" s="150"/>
      <c r="R28" s="82"/>
    </row>
    <row r="29" spans="1:18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7"/>
      <c r="Q29" s="150"/>
      <c r="R29" s="82"/>
    </row>
    <row r="30" spans="1:18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16107.623484056487</v>
      </c>
      <c r="N30" s="7"/>
      <c r="O30" s="7"/>
      <c r="Q30" s="150"/>
      <c r="R30" s="82"/>
    </row>
    <row r="31" spans="1:18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18149.694100547993</v>
      </c>
      <c r="N31" s="7"/>
      <c r="O31" s="7"/>
      <c r="Q31" s="150"/>
      <c r="R31" s="82"/>
    </row>
    <row r="32" spans="1:18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27017.5</v>
      </c>
      <c r="N32" s="7"/>
      <c r="O32" s="7"/>
      <c r="Q32" s="150"/>
      <c r="R32" s="82"/>
    </row>
    <row r="33" spans="1:18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4660.0007062240593</v>
      </c>
      <c r="N33" s="7"/>
      <c r="O33" s="7"/>
      <c r="Q33" s="150"/>
      <c r="R33" s="82"/>
    </row>
    <row r="34" spans="1:18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  <c r="Q34" s="150"/>
      <c r="R34" s="82"/>
    </row>
    <row r="35" spans="1:18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  <c r="Q35" s="150"/>
      <c r="R35" s="82"/>
    </row>
    <row r="36" spans="1:18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1741.332140625</v>
      </c>
      <c r="N36" s="7"/>
      <c r="O36" s="7"/>
      <c r="Q36" s="150"/>
      <c r="R36" s="82"/>
    </row>
    <row r="37" spans="1:18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1676</v>
      </c>
      <c r="N37" s="7"/>
      <c r="O37" s="7"/>
      <c r="Q37" s="150"/>
      <c r="R37" s="82"/>
    </row>
    <row r="38" spans="1:18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6781.31</v>
      </c>
      <c r="N38" s="7"/>
      <c r="O38" s="7"/>
      <c r="Q38" s="150"/>
      <c r="R38" s="82"/>
    </row>
    <row r="39" spans="1:18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1000</v>
      </c>
      <c r="N39" s="7"/>
      <c r="O39" s="7"/>
      <c r="Q39" s="150"/>
      <c r="R39" s="82"/>
    </row>
    <row r="40" spans="1:18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2470.3870937499996</v>
      </c>
      <c r="N40" s="7"/>
      <c r="O40" s="7"/>
      <c r="Q40" s="150"/>
      <c r="R40" s="82"/>
    </row>
    <row r="41" spans="1:18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1693.7180946972651</v>
      </c>
      <c r="N41" s="7"/>
      <c r="O41" s="7"/>
      <c r="Q41" s="150"/>
      <c r="R41" s="82"/>
    </row>
    <row r="42" spans="1:18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515.9221450781248</v>
      </c>
      <c r="N42" s="7"/>
      <c r="O42" s="7"/>
      <c r="Q42" s="150"/>
      <c r="R42" s="82"/>
    </row>
    <row r="43" spans="1:18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  <c r="Q43" s="150"/>
      <c r="R43" s="82"/>
    </row>
    <row r="44" spans="1:18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  <c r="Q44" s="150"/>
      <c r="R44" s="82"/>
    </row>
    <row r="45" spans="1:18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  <c r="Q45" s="150"/>
      <c r="R45" s="82"/>
    </row>
    <row r="46" spans="1:18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600</v>
      </c>
      <c r="N46" s="7"/>
      <c r="O46" s="7"/>
      <c r="Q46" s="150"/>
      <c r="R46" s="82"/>
    </row>
    <row r="47" spans="1:18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28899.938539999999</v>
      </c>
      <c r="N47" s="7"/>
      <c r="O47" s="7"/>
      <c r="Q47" s="150"/>
      <c r="R47" s="82"/>
    </row>
    <row r="48" spans="1:18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  <c r="Q48" s="150"/>
      <c r="R48" s="82"/>
    </row>
    <row r="49" spans="1:18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  <c r="Q49" s="150"/>
      <c r="R49" s="82"/>
    </row>
    <row r="50" spans="1:18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109516.97017307692</v>
      </c>
      <c r="N50" s="7"/>
      <c r="O50" s="7"/>
      <c r="Q50" s="150"/>
      <c r="R50" s="82"/>
    </row>
    <row r="51" spans="1:18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Q51" s="150"/>
      <c r="R51" s="82"/>
    </row>
    <row r="52" spans="1:18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253651.42067127756</v>
      </c>
      <c r="N52" s="7"/>
      <c r="O52" s="31">
        <v>253651.42067127756</v>
      </c>
      <c r="Q52" s="150"/>
      <c r="R52" s="82"/>
    </row>
    <row r="53" spans="1:18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  <c r="Q53" s="150"/>
    </row>
    <row r="54" spans="1:18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8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8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8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</row>
    <row r="58" spans="1:18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8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204070</v>
      </c>
      <c r="N59" s="7"/>
      <c r="O59" s="7"/>
    </row>
    <row r="60" spans="1:18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8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8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8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204070</v>
      </c>
      <c r="N63" s="7"/>
      <c r="O63" s="7"/>
    </row>
    <row r="64" spans="1:18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204070</v>
      </c>
      <c r="N66" s="7"/>
      <c r="O66" s="39">
        <v>204070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1029314.234015532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19" type="noConversion"/>
  <pageMargins left="0.75" right="0.75" top="1" bottom="1" header="0.5" footer="0.5"/>
  <pageSetup paperSize="9"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pageSetUpPr fitToPage="1"/>
  </sheetPr>
  <dimension ref="A1:O70"/>
  <sheetViews>
    <sheetView zoomScale="80" zoomScaleNormal="80" workbookViewId="0">
      <selection activeCell="S9" sqref="S9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24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17</v>
      </c>
      <c r="J15" s="7"/>
      <c r="K15" s="9"/>
      <c r="L15" s="7"/>
      <c r="M15" s="21">
        <v>42456.901235794314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20</v>
      </c>
      <c r="J16" s="7"/>
      <c r="K16" s="9"/>
      <c r="L16" s="7"/>
      <c r="M16" s="21">
        <v>49935.590327241305</v>
      </c>
      <c r="N16" s="7"/>
      <c r="O16" s="7"/>
    </row>
    <row r="17" spans="1:15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31</v>
      </c>
      <c r="J17" s="7"/>
      <c r="K17" s="9"/>
      <c r="L17" s="7"/>
      <c r="M17" s="21">
        <v>77400.16500722403</v>
      </c>
      <c r="N17" s="7"/>
      <c r="O17" s="7"/>
    </row>
    <row r="18" spans="1:15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30</v>
      </c>
      <c r="J18" s="7"/>
      <c r="K18" s="9"/>
      <c r="L18" s="7"/>
      <c r="M18" s="21">
        <v>74903.385490861954</v>
      </c>
      <c r="N18" s="7"/>
      <c r="O18" s="7"/>
    </row>
    <row r="19" spans="1:15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29</v>
      </c>
      <c r="J19" s="7"/>
      <c r="K19" s="9"/>
      <c r="L19" s="7"/>
      <c r="M19" s="21">
        <v>71473.17268997131</v>
      </c>
      <c r="N19" s="7"/>
      <c r="O19" s="7"/>
    </row>
    <row r="20" spans="1:15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30</v>
      </c>
      <c r="J20" s="7"/>
      <c r="K20" s="20"/>
      <c r="L20" s="7"/>
      <c r="M20" s="21">
        <v>73937.764851694461</v>
      </c>
      <c r="N20" s="7"/>
      <c r="O20" s="7"/>
    </row>
    <row r="21" spans="1:15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29</v>
      </c>
      <c r="J21" s="7"/>
      <c r="K21" s="20"/>
      <c r="L21" s="7"/>
      <c r="M21" s="21">
        <v>71473.17268997131</v>
      </c>
      <c r="N21" s="7"/>
      <c r="O21" s="7"/>
    </row>
    <row r="22" spans="1:15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30</v>
      </c>
      <c r="J22" s="7"/>
      <c r="K22" s="20"/>
      <c r="L22" s="7"/>
      <c r="M22" s="21">
        <v>73937.764851694461</v>
      </c>
      <c r="N22" s="7"/>
      <c r="O22" s="7"/>
    </row>
    <row r="23" spans="1:15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5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216</v>
      </c>
      <c r="J24" s="7"/>
      <c r="K24" s="20"/>
      <c r="L24" s="7"/>
      <c r="M24" s="25">
        <v>535517.91714445315</v>
      </c>
      <c r="N24" s="7"/>
      <c r="O24" s="26">
        <v>535517.91714445315</v>
      </c>
    </row>
    <row r="25" spans="1:15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5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5594.3502293094725</v>
      </c>
      <c r="N28" s="7"/>
      <c r="O28" s="7"/>
    </row>
    <row r="29" spans="1:15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7"/>
    </row>
    <row r="30" spans="1:15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12565.926763074393</v>
      </c>
      <c r="N30" s="7"/>
      <c r="O30" s="7"/>
    </row>
    <row r="31" spans="1:15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14158.992918193893</v>
      </c>
      <c r="N31" s="7"/>
      <c r="O31" s="7"/>
    </row>
    <row r="32" spans="1:15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13910</v>
      </c>
      <c r="N32" s="7"/>
      <c r="O32" s="7"/>
    </row>
    <row r="33" spans="1:15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6378.9348686478597</v>
      </c>
      <c r="N33" s="7"/>
      <c r="O33" s="7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</row>
    <row r="35" spans="1:15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</row>
    <row r="36" spans="1:15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1741.332140625</v>
      </c>
      <c r="N36" s="7"/>
      <c r="O36" s="7"/>
    </row>
    <row r="37" spans="1:15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1676</v>
      </c>
      <c r="N37" s="7"/>
      <c r="O37" s="7"/>
    </row>
    <row r="38" spans="1:15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6354.72</v>
      </c>
      <c r="N38" s="7"/>
      <c r="O38" s="7"/>
    </row>
    <row r="39" spans="1:15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1000</v>
      </c>
      <c r="N39" s="7"/>
      <c r="O39" s="7"/>
    </row>
    <row r="40" spans="1:15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2470.3870937499996</v>
      </c>
      <c r="N40" s="7"/>
      <c r="O40" s="7"/>
    </row>
    <row r="41" spans="1:15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1693.7180946972651</v>
      </c>
      <c r="N41" s="7"/>
      <c r="O41" s="7"/>
    </row>
    <row r="42" spans="1:15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515.9221450781248</v>
      </c>
      <c r="N42" s="7"/>
      <c r="O42" s="7"/>
    </row>
    <row r="43" spans="1:15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</row>
    <row r="46" spans="1:15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513.04347826086951</v>
      </c>
      <c r="N46" s="7"/>
      <c r="O46" s="7"/>
    </row>
    <row r="47" spans="1:15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28899.938539999999</v>
      </c>
      <c r="N47" s="7"/>
      <c r="O47" s="7"/>
    </row>
    <row r="48" spans="1:15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</row>
    <row r="49" spans="1:15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</row>
    <row r="50" spans="1:15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124542.03695384614</v>
      </c>
      <c r="N50" s="7"/>
      <c r="O50" s="7"/>
    </row>
    <row r="51" spans="1:15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249672.77066548303</v>
      </c>
      <c r="N52" s="7"/>
      <c r="O52" s="31">
        <v>249672.77066548303</v>
      </c>
    </row>
    <row r="53" spans="1:15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5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5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5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</row>
    <row r="58" spans="1:15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5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75362</v>
      </c>
      <c r="N59" s="7"/>
      <c r="O59" s="7"/>
    </row>
    <row r="60" spans="1:15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5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5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5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75362</v>
      </c>
      <c r="N63" s="7"/>
      <c r="O63" s="7"/>
    </row>
    <row r="64" spans="1:15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75362</v>
      </c>
      <c r="N66" s="7"/>
      <c r="O66" s="39">
        <v>75362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860552.68780993624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1">
    <pageSetUpPr fitToPage="1"/>
  </sheetPr>
  <dimension ref="A1:O70"/>
  <sheetViews>
    <sheetView zoomScale="80" zoomScaleNormal="80" workbookViewId="0">
      <selection activeCell="S7" sqref="S7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25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0</v>
      </c>
      <c r="J15" s="7"/>
      <c r="K15" s="9"/>
      <c r="L15" s="7"/>
      <c r="M15" s="21">
        <v>0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25</v>
      </c>
      <c r="J16" s="7"/>
      <c r="K16" s="9"/>
      <c r="L16" s="7"/>
      <c r="M16" s="21">
        <v>62419.487909051633</v>
      </c>
      <c r="N16" s="7"/>
      <c r="O16" s="7"/>
    </row>
    <row r="17" spans="1:15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23</v>
      </c>
      <c r="J17" s="7"/>
      <c r="K17" s="9"/>
      <c r="L17" s="7"/>
      <c r="M17" s="21">
        <v>57425.928876327504</v>
      </c>
      <c r="N17" s="7"/>
      <c r="O17" s="7"/>
    </row>
    <row r="18" spans="1:15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42</v>
      </c>
      <c r="J18" s="7"/>
      <c r="K18" s="9"/>
      <c r="L18" s="7"/>
      <c r="M18" s="21">
        <v>104864.73968720675</v>
      </c>
      <c r="N18" s="7"/>
      <c r="O18" s="7"/>
    </row>
    <row r="19" spans="1:15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29</v>
      </c>
      <c r="J19" s="7"/>
      <c r="K19" s="9"/>
      <c r="L19" s="7"/>
      <c r="M19" s="21">
        <v>71473.17268997131</v>
      </c>
      <c r="N19" s="7"/>
      <c r="O19" s="7"/>
    </row>
    <row r="20" spans="1:15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30</v>
      </c>
      <c r="J20" s="7"/>
      <c r="K20" s="20"/>
      <c r="L20" s="7"/>
      <c r="M20" s="21">
        <v>73937.764851694461</v>
      </c>
      <c r="N20" s="7"/>
      <c r="O20" s="7"/>
    </row>
    <row r="21" spans="1:15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28</v>
      </c>
      <c r="J21" s="7"/>
      <c r="K21" s="20"/>
      <c r="L21" s="7"/>
      <c r="M21" s="21">
        <v>69008.58052824816</v>
      </c>
      <c r="N21" s="7"/>
      <c r="O21" s="7"/>
    </row>
    <row r="22" spans="1:15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30</v>
      </c>
      <c r="J22" s="7"/>
      <c r="K22" s="20"/>
      <c r="L22" s="7"/>
      <c r="M22" s="21">
        <v>73937.764851694461</v>
      </c>
      <c r="N22" s="7"/>
      <c r="O22" s="7"/>
    </row>
    <row r="23" spans="1:15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5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207</v>
      </c>
      <c r="J24" s="7"/>
      <c r="K24" s="20"/>
      <c r="L24" s="7"/>
      <c r="M24" s="25">
        <v>513067.43939419428</v>
      </c>
      <c r="N24" s="7"/>
      <c r="O24" s="26">
        <v>513067.43939419428</v>
      </c>
    </row>
    <row r="25" spans="1:15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5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5329.8419442357381</v>
      </c>
      <c r="N28" s="7"/>
      <c r="O28" s="7"/>
    </row>
    <row r="29" spans="1:15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7"/>
    </row>
    <row r="30" spans="1:15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11971.793109973949</v>
      </c>
      <c r="N30" s="7"/>
      <c r="O30" s="7"/>
    </row>
    <row r="31" spans="1:15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13489.536988255648</v>
      </c>
      <c r="N31" s="7"/>
      <c r="O31" s="7"/>
    </row>
    <row r="32" spans="1:15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12438.75</v>
      </c>
      <c r="N32" s="7"/>
      <c r="O32" s="7"/>
    </row>
    <row r="33" spans="1:15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7402.3465376053828</v>
      </c>
      <c r="N33" s="7"/>
      <c r="O33" s="7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</row>
    <row r="35" spans="1:15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</row>
    <row r="36" spans="1:15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1741.332140625</v>
      </c>
      <c r="N36" s="7"/>
      <c r="O36" s="7"/>
    </row>
    <row r="37" spans="1:15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1676</v>
      </c>
      <c r="N37" s="7"/>
      <c r="O37" s="7"/>
    </row>
    <row r="38" spans="1:15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6089.9400000000005</v>
      </c>
      <c r="N38" s="7"/>
      <c r="O38" s="7"/>
    </row>
    <row r="39" spans="1:15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1000</v>
      </c>
      <c r="N39" s="7"/>
      <c r="O39" s="7"/>
    </row>
    <row r="40" spans="1:15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2470.3870937499996</v>
      </c>
      <c r="N40" s="7"/>
      <c r="O40" s="7"/>
    </row>
    <row r="41" spans="1:15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847.42475145507785</v>
      </c>
      <c r="N41" s="7"/>
      <c r="O41" s="7"/>
    </row>
    <row r="42" spans="1:15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257.9610725390624</v>
      </c>
      <c r="N42" s="7"/>
      <c r="O42" s="7"/>
    </row>
    <row r="43" spans="1:15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</row>
    <row r="46" spans="1:15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0</v>
      </c>
      <c r="N46" s="7"/>
      <c r="O46" s="7"/>
    </row>
    <row r="47" spans="1:15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17339.963123999998</v>
      </c>
      <c r="N47" s="7"/>
      <c r="O47" s="7"/>
    </row>
    <row r="48" spans="1:15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</row>
    <row r="49" spans="1:15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</row>
    <row r="50" spans="1:15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139617.0209</v>
      </c>
      <c r="N50" s="7"/>
      <c r="O50" s="7"/>
    </row>
    <row r="51" spans="1:15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249329.76510243988</v>
      </c>
      <c r="N52" s="7"/>
      <c r="O52" s="31">
        <v>249329.76510243988</v>
      </c>
    </row>
    <row r="53" spans="1:15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5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5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5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</row>
    <row r="58" spans="1:15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5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70365</v>
      </c>
      <c r="N59" s="7"/>
      <c r="O59" s="7"/>
    </row>
    <row r="60" spans="1:15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5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5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5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70365</v>
      </c>
      <c r="N63" s="7"/>
      <c r="O63" s="7"/>
    </row>
    <row r="64" spans="1:15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70365</v>
      </c>
      <c r="N66" s="7"/>
      <c r="O66" s="39">
        <v>70365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832762.20449663419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3">
    <pageSetUpPr fitToPage="1"/>
  </sheetPr>
  <dimension ref="A1:O70"/>
  <sheetViews>
    <sheetView zoomScale="80" zoomScaleNormal="80" workbookViewId="0">
      <selection activeCell="T4" sqref="T4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26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0</v>
      </c>
      <c r="J15" s="7"/>
      <c r="K15" s="9"/>
      <c r="L15" s="7"/>
      <c r="M15" s="21">
        <v>0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30</v>
      </c>
      <c r="J16" s="7"/>
      <c r="K16" s="9"/>
      <c r="L16" s="7"/>
      <c r="M16" s="21">
        <v>74903.385490861954</v>
      </c>
      <c r="N16" s="7"/>
      <c r="O16" s="7"/>
    </row>
    <row r="17" spans="1:15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22</v>
      </c>
      <c r="J17" s="7"/>
      <c r="K17" s="9"/>
      <c r="L17" s="7"/>
      <c r="M17" s="21">
        <v>54929.149359965435</v>
      </c>
      <c r="N17" s="7"/>
      <c r="O17" s="7"/>
    </row>
    <row r="18" spans="1:15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20</v>
      </c>
      <c r="J18" s="7"/>
      <c r="K18" s="9"/>
      <c r="L18" s="7"/>
      <c r="M18" s="21">
        <v>49935.590327241305</v>
      </c>
      <c r="N18" s="7"/>
      <c r="O18" s="7"/>
    </row>
    <row r="19" spans="1:15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24</v>
      </c>
      <c r="J19" s="7"/>
      <c r="K19" s="9"/>
      <c r="L19" s="7"/>
      <c r="M19" s="21">
        <v>59150.211881355572</v>
      </c>
      <c r="N19" s="7"/>
      <c r="O19" s="7"/>
    </row>
    <row r="20" spans="1:15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26</v>
      </c>
      <c r="J20" s="7"/>
      <c r="K20" s="20"/>
      <c r="L20" s="7"/>
      <c r="M20" s="21">
        <v>64079.396204801873</v>
      </c>
      <c r="N20" s="7"/>
      <c r="O20" s="7"/>
    </row>
    <row r="21" spans="1:15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30</v>
      </c>
      <c r="J21" s="7"/>
      <c r="K21" s="20"/>
      <c r="L21" s="7"/>
      <c r="M21" s="21">
        <v>73937.764851694461</v>
      </c>
      <c r="N21" s="7"/>
      <c r="O21" s="7"/>
    </row>
    <row r="22" spans="1:15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22</v>
      </c>
      <c r="J22" s="7"/>
      <c r="K22" s="20"/>
      <c r="L22" s="7"/>
      <c r="M22" s="21">
        <v>54221.02755790927</v>
      </c>
      <c r="N22" s="7"/>
      <c r="O22" s="7"/>
    </row>
    <row r="23" spans="1:15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5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174</v>
      </c>
      <c r="J24" s="7"/>
      <c r="K24" s="20"/>
      <c r="L24" s="7"/>
      <c r="M24" s="25">
        <v>431156.52567382983</v>
      </c>
      <c r="N24" s="7"/>
      <c r="O24" s="26">
        <v>431156.52567382983</v>
      </c>
    </row>
    <row r="25" spans="1:15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5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4699.4305314766725</v>
      </c>
      <c r="N28" s="7"/>
      <c r="O28" s="7"/>
    </row>
    <row r="29" spans="1:15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7"/>
    </row>
    <row r="30" spans="1:15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10555.774570084559</v>
      </c>
      <c r="N30" s="7"/>
      <c r="O30" s="7"/>
    </row>
    <row r="31" spans="1:15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11894.000355236163</v>
      </c>
      <c r="N31" s="7"/>
      <c r="O31" s="7"/>
    </row>
    <row r="32" spans="1:15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10833.75</v>
      </c>
      <c r="N32" s="7"/>
      <c r="O32" s="7"/>
    </row>
    <row r="33" spans="1:15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4143.3268539348246</v>
      </c>
      <c r="N33" s="7"/>
      <c r="O33" s="7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</row>
    <row r="35" spans="1:15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</row>
    <row r="36" spans="1:15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1741.332140625</v>
      </c>
      <c r="N36" s="7"/>
      <c r="O36" s="7"/>
    </row>
    <row r="37" spans="1:15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1676</v>
      </c>
      <c r="N37" s="7"/>
      <c r="O37" s="7"/>
    </row>
    <row r="38" spans="1:15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5119.08</v>
      </c>
      <c r="N38" s="7"/>
      <c r="O38" s="7"/>
    </row>
    <row r="39" spans="1:15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1000</v>
      </c>
      <c r="N39" s="7"/>
      <c r="O39" s="7"/>
    </row>
    <row r="40" spans="1:15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2470.3870937499996</v>
      </c>
      <c r="N40" s="7"/>
      <c r="O40" s="7"/>
    </row>
    <row r="41" spans="1:15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847.42475145507785</v>
      </c>
      <c r="N41" s="7"/>
      <c r="O41" s="7"/>
    </row>
    <row r="42" spans="1:15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257.9610725390624</v>
      </c>
      <c r="N42" s="7"/>
      <c r="O42" s="7"/>
    </row>
    <row r="43" spans="1:15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</row>
    <row r="46" spans="1:15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0</v>
      </c>
      <c r="N46" s="7"/>
      <c r="O46" s="7"/>
    </row>
    <row r="47" spans="1:15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17339.963123999998</v>
      </c>
      <c r="N47" s="7"/>
      <c r="O47" s="7"/>
    </row>
    <row r="48" spans="1:15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</row>
    <row r="49" spans="1:15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</row>
    <row r="50" spans="1:15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143510.55979999999</v>
      </c>
      <c r="N50" s="7"/>
      <c r="O50" s="7"/>
    </row>
    <row r="51" spans="1:15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243746.45773310136</v>
      </c>
      <c r="N52" s="7"/>
      <c r="O52" s="31">
        <v>243746.45773310136</v>
      </c>
    </row>
    <row r="53" spans="1:15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5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5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5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</row>
    <row r="58" spans="1:15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5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98502</v>
      </c>
      <c r="N59" s="7"/>
      <c r="O59" s="7"/>
    </row>
    <row r="60" spans="1:15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5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5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5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98502</v>
      </c>
      <c r="N63" s="7"/>
      <c r="O63" s="7"/>
    </row>
    <row r="64" spans="1:15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98502</v>
      </c>
      <c r="N66" s="7"/>
      <c r="O66" s="39">
        <v>98502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773404.98340693116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4">
    <pageSetUpPr fitToPage="1"/>
  </sheetPr>
  <dimension ref="A1:U70"/>
  <sheetViews>
    <sheetView zoomScale="80" zoomScaleNormal="80" workbookViewId="0">
      <selection activeCell="T15" sqref="T15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27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11.5</v>
      </c>
      <c r="J15" s="7"/>
      <c r="K15" s="9"/>
      <c r="L15" s="7"/>
      <c r="M15" s="21">
        <v>28720.844953625568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15</v>
      </c>
      <c r="J16" s="7"/>
      <c r="K16" s="9"/>
      <c r="L16" s="7"/>
      <c r="M16" s="21">
        <v>37451.692745430977</v>
      </c>
      <c r="N16" s="7"/>
      <c r="O16" s="7"/>
    </row>
    <row r="17" spans="1:21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20</v>
      </c>
      <c r="J17" s="7"/>
      <c r="K17" s="9"/>
      <c r="L17" s="7"/>
      <c r="M17" s="21">
        <v>49935.590327241305</v>
      </c>
      <c r="N17" s="7"/>
      <c r="O17" s="7"/>
    </row>
    <row r="18" spans="1:21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16</v>
      </c>
      <c r="J18" s="7"/>
      <c r="K18" s="9"/>
      <c r="L18" s="7"/>
      <c r="M18" s="21">
        <v>39948.472261793046</v>
      </c>
      <c r="N18" s="7"/>
      <c r="O18" s="7"/>
    </row>
    <row r="19" spans="1:21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26</v>
      </c>
      <c r="J19" s="7"/>
      <c r="K19" s="9"/>
      <c r="L19" s="7"/>
      <c r="M19" s="21">
        <v>64079.396204801873</v>
      </c>
      <c r="N19" s="7"/>
      <c r="O19" s="7"/>
    </row>
    <row r="20" spans="1:21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24</v>
      </c>
      <c r="J20" s="7"/>
      <c r="K20" s="20"/>
      <c r="L20" s="7"/>
      <c r="M20" s="21">
        <v>59150.211881355572</v>
      </c>
      <c r="N20" s="7"/>
      <c r="O20" s="7"/>
    </row>
    <row r="21" spans="1:21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24</v>
      </c>
      <c r="J21" s="7"/>
      <c r="K21" s="20"/>
      <c r="L21" s="7"/>
      <c r="M21" s="21">
        <v>59150.211881355572</v>
      </c>
      <c r="N21" s="7"/>
      <c r="O21" s="7"/>
    </row>
    <row r="22" spans="1:21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29</v>
      </c>
      <c r="J22" s="7"/>
      <c r="K22" s="20"/>
      <c r="L22" s="7"/>
      <c r="M22" s="21">
        <v>71473.17268997131</v>
      </c>
      <c r="N22" s="7"/>
      <c r="O22" s="7"/>
    </row>
    <row r="23" spans="1:21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21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165.5</v>
      </c>
      <c r="J24" s="7"/>
      <c r="K24" s="20"/>
      <c r="L24" s="7"/>
      <c r="M24" s="25">
        <v>409909.59294557513</v>
      </c>
      <c r="N24" s="7"/>
      <c r="O24" s="26">
        <v>409909.59294557513</v>
      </c>
    </row>
    <row r="25" spans="1:21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21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21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21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6778.0248050144319</v>
      </c>
      <c r="N28" s="7"/>
      <c r="O28" s="7"/>
      <c r="U28" s="82"/>
    </row>
    <row r="29" spans="1:21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7"/>
      <c r="U29" s="82"/>
    </row>
    <row r="30" spans="1:21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15224.674860698882</v>
      </c>
      <c r="N30" s="7"/>
      <c r="O30" s="7"/>
      <c r="U30" s="82"/>
    </row>
    <row r="31" spans="1:21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17154.808204667544</v>
      </c>
      <c r="N31" s="7"/>
      <c r="O31" s="7"/>
      <c r="U31" s="82"/>
    </row>
    <row r="32" spans="1:21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25813.75</v>
      </c>
      <c r="N32" s="7"/>
      <c r="O32" s="7"/>
      <c r="U32" s="82"/>
    </row>
    <row r="33" spans="1:21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6441.86309424719</v>
      </c>
      <c r="N33" s="7"/>
      <c r="O33" s="7"/>
      <c r="U33" s="82"/>
    </row>
    <row r="34" spans="1:21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  <c r="U34" s="82"/>
    </row>
    <row r="35" spans="1:21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  <c r="U35" s="82"/>
    </row>
    <row r="36" spans="1:21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1741.332140625</v>
      </c>
      <c r="N36" s="7"/>
      <c r="O36" s="7"/>
      <c r="U36" s="82"/>
    </row>
    <row r="37" spans="1:21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1676</v>
      </c>
      <c r="N37" s="7"/>
      <c r="O37" s="7"/>
      <c r="U37" s="82"/>
    </row>
    <row r="38" spans="1:21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4869.01</v>
      </c>
      <c r="N38" s="7"/>
      <c r="O38" s="7"/>
      <c r="U38" s="82"/>
    </row>
    <row r="39" spans="1:21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1000</v>
      </c>
      <c r="N39" s="7"/>
      <c r="O39" s="7"/>
      <c r="U39" s="82"/>
    </row>
    <row r="40" spans="1:21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2470.3870937499996</v>
      </c>
      <c r="N40" s="7"/>
      <c r="O40" s="7"/>
      <c r="U40" s="82"/>
    </row>
    <row r="41" spans="1:21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1693.7180946972651</v>
      </c>
      <c r="N41" s="7"/>
      <c r="O41" s="7"/>
      <c r="U41" s="82"/>
    </row>
    <row r="42" spans="1:21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515.9221450781248</v>
      </c>
      <c r="N42" s="7"/>
      <c r="O42" s="7"/>
      <c r="U42" s="82"/>
    </row>
    <row r="43" spans="1:21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  <c r="U43" s="82"/>
    </row>
    <row r="44" spans="1:21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  <c r="U44" s="82"/>
    </row>
    <row r="45" spans="1:21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  <c r="U45" s="82"/>
    </row>
    <row r="46" spans="1:21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426.08695652173913</v>
      </c>
      <c r="N46" s="7"/>
      <c r="O46" s="7"/>
      <c r="U46" s="82"/>
    </row>
    <row r="47" spans="1:21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28899.938539999999</v>
      </c>
      <c r="N47" s="7"/>
      <c r="O47" s="7"/>
      <c r="U47" s="82"/>
    </row>
    <row r="48" spans="1:21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  <c r="U48" s="82"/>
    </row>
    <row r="49" spans="1:21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  <c r="U49" s="82"/>
    </row>
    <row r="50" spans="1:21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152246.06374230768</v>
      </c>
      <c r="N50" s="7"/>
      <c r="O50" s="7"/>
      <c r="U50" s="82"/>
    </row>
    <row r="51" spans="1:21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U51" s="82"/>
    </row>
    <row r="52" spans="1:21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294609.0471176079</v>
      </c>
      <c r="N52" s="7"/>
      <c r="O52" s="31">
        <v>294609.0471176079</v>
      </c>
      <c r="U52" s="82"/>
    </row>
    <row r="53" spans="1:21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  <c r="U53" s="82"/>
    </row>
    <row r="54" spans="1:21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U54" s="82"/>
    </row>
    <row r="55" spans="1:21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  <c r="U55" s="82"/>
    </row>
    <row r="56" spans="1:21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  <c r="U56" s="82"/>
    </row>
    <row r="57" spans="1:21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  <c r="U57" s="82"/>
    </row>
    <row r="58" spans="1:21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  <c r="U58" s="82"/>
    </row>
    <row r="59" spans="1:21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51554</v>
      </c>
      <c r="N59" s="7"/>
      <c r="O59" s="7"/>
      <c r="U59" s="82"/>
    </row>
    <row r="60" spans="1:21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  <c r="U60" s="82"/>
    </row>
    <row r="61" spans="1:21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  <c r="U61" s="82"/>
    </row>
    <row r="62" spans="1:21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  <c r="U62" s="82"/>
    </row>
    <row r="63" spans="1:21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51554</v>
      </c>
      <c r="N63" s="7"/>
      <c r="O63" s="7"/>
      <c r="U63" s="82"/>
    </row>
    <row r="64" spans="1:21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  <c r="U64" s="82"/>
    </row>
    <row r="65" spans="1:21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  <c r="U65" s="82"/>
    </row>
    <row r="66" spans="1:21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51554</v>
      </c>
      <c r="N66" s="7"/>
      <c r="O66" s="39">
        <v>51554</v>
      </c>
      <c r="U66" s="82"/>
    </row>
    <row r="67" spans="1:21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21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756072.64006318303</v>
      </c>
    </row>
    <row r="69" spans="1:21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21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5">
    <pageSetUpPr fitToPage="1"/>
  </sheetPr>
  <dimension ref="A1:O70"/>
  <sheetViews>
    <sheetView zoomScale="80" zoomScaleNormal="80" workbookViewId="0">
      <selection activeCell="Q10" sqref="Q10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" width="9.140625" style="1"/>
    <col min="17" max="17" width="9.140625" style="1" customWidth="1"/>
    <col min="18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28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0</v>
      </c>
      <c r="J15" s="7"/>
      <c r="K15" s="9"/>
      <c r="L15" s="7"/>
      <c r="M15" s="21">
        <v>0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11</v>
      </c>
      <c r="J16" s="7"/>
      <c r="K16" s="9"/>
      <c r="L16" s="7"/>
      <c r="M16" s="21">
        <v>27464.574679982717</v>
      </c>
      <c r="N16" s="7"/>
      <c r="O16" s="7"/>
    </row>
    <row r="17" spans="1:15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9</v>
      </c>
      <c r="J17" s="7"/>
      <c r="K17" s="9"/>
      <c r="L17" s="7"/>
      <c r="M17" s="21">
        <v>22471.015647258588</v>
      </c>
      <c r="N17" s="7"/>
      <c r="O17" s="7"/>
    </row>
    <row r="18" spans="1:15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15</v>
      </c>
      <c r="J18" s="7"/>
      <c r="K18" s="9"/>
      <c r="L18" s="7"/>
      <c r="M18" s="21">
        <v>37451.692745430977</v>
      </c>
      <c r="N18" s="7"/>
      <c r="O18" s="7"/>
    </row>
    <row r="19" spans="1:15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7</v>
      </c>
      <c r="J19" s="7"/>
      <c r="K19" s="9"/>
      <c r="L19" s="7"/>
      <c r="M19" s="21">
        <v>17252.14513206204</v>
      </c>
      <c r="N19" s="7"/>
      <c r="O19" s="7"/>
    </row>
    <row r="20" spans="1:15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7</v>
      </c>
      <c r="J20" s="7"/>
      <c r="K20" s="20"/>
      <c r="L20" s="7"/>
      <c r="M20" s="21">
        <v>17252.14513206204</v>
      </c>
      <c r="N20" s="7"/>
      <c r="O20" s="7"/>
    </row>
    <row r="21" spans="1:15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13</v>
      </c>
      <c r="J21" s="7"/>
      <c r="K21" s="20"/>
      <c r="L21" s="7"/>
      <c r="M21" s="21">
        <v>32039.698102400936</v>
      </c>
      <c r="N21" s="7"/>
      <c r="O21" s="7"/>
    </row>
    <row r="22" spans="1:15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11</v>
      </c>
      <c r="J22" s="7"/>
      <c r="K22" s="20"/>
      <c r="L22" s="7"/>
      <c r="M22" s="21">
        <v>27110.513778954635</v>
      </c>
      <c r="N22" s="7"/>
      <c r="O22" s="7"/>
    </row>
    <row r="23" spans="1:15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5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73</v>
      </c>
      <c r="J24" s="7"/>
      <c r="K24" s="20"/>
      <c r="L24" s="7"/>
      <c r="M24" s="25">
        <v>181041.78521815193</v>
      </c>
      <c r="N24" s="7"/>
      <c r="O24" s="26">
        <v>181041.78521815193</v>
      </c>
    </row>
    <row r="25" spans="1:15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5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2689.1675649162949</v>
      </c>
      <c r="N28" s="7"/>
      <c r="O28" s="7"/>
    </row>
    <row r="29" spans="1:15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13329.23372</v>
      </c>
      <c r="N29" s="7"/>
      <c r="O29" s="7"/>
    </row>
    <row r="30" spans="1:15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6040.3588065211825</v>
      </c>
      <c r="N30" s="7"/>
      <c r="O30" s="7"/>
    </row>
    <row r="31" spans="1:15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6806.1352877054969</v>
      </c>
      <c r="N31" s="7"/>
      <c r="O31" s="7"/>
    </row>
    <row r="32" spans="1:15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7222.5</v>
      </c>
      <c r="N32" s="7"/>
      <c r="O32" s="7"/>
    </row>
    <row r="33" spans="1:15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4073.7746045881972</v>
      </c>
      <c r="N33" s="7"/>
      <c r="O33" s="7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</row>
    <row r="35" spans="1:15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</row>
    <row r="36" spans="1:15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1583.0292187499999</v>
      </c>
      <c r="N36" s="7"/>
      <c r="O36" s="7"/>
    </row>
    <row r="37" spans="1:15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928</v>
      </c>
      <c r="N37" s="7"/>
      <c r="O37" s="7"/>
    </row>
    <row r="38" spans="1:15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2147.6600000000003</v>
      </c>
      <c r="N38" s="7"/>
      <c r="O38" s="7"/>
    </row>
    <row r="39" spans="1:15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1000</v>
      </c>
      <c r="N39" s="7"/>
      <c r="O39" s="7"/>
    </row>
    <row r="40" spans="1:15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1996.55521875</v>
      </c>
      <c r="N40" s="7"/>
      <c r="O40" s="7"/>
    </row>
    <row r="41" spans="1:15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847.42475145507785</v>
      </c>
      <c r="N41" s="7"/>
      <c r="O41" s="7"/>
    </row>
    <row r="42" spans="1:15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257.9610725390624</v>
      </c>
      <c r="N42" s="7"/>
      <c r="O42" s="7"/>
    </row>
    <row r="43" spans="1:15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</row>
    <row r="46" spans="1:15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121.7391304347826</v>
      </c>
      <c r="N46" s="7"/>
      <c r="O46" s="7"/>
    </row>
    <row r="47" spans="1:15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11559.975415999999</v>
      </c>
      <c r="N47" s="7"/>
      <c r="O47" s="7"/>
    </row>
    <row r="48" spans="1:15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</row>
    <row r="49" spans="1:15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</row>
    <row r="50" spans="1:15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94395.311399999991</v>
      </c>
      <c r="N50" s="7"/>
      <c r="O50" s="7"/>
    </row>
    <row r="51" spans="1:15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155997.82619166007</v>
      </c>
      <c r="N52" s="7"/>
      <c r="O52" s="31">
        <v>155997.82619166007</v>
      </c>
    </row>
    <row r="53" spans="1:15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5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5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5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</row>
    <row r="58" spans="1:15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5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13019</v>
      </c>
      <c r="N59" s="7"/>
      <c r="O59" s="7"/>
    </row>
    <row r="60" spans="1:15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5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5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5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13019</v>
      </c>
      <c r="N63" s="7"/>
      <c r="O63" s="7"/>
    </row>
    <row r="64" spans="1:15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13019</v>
      </c>
      <c r="N66" s="7"/>
      <c r="O66" s="39">
        <v>13019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350058.611409812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6">
    <pageSetUpPr fitToPage="1"/>
  </sheetPr>
  <dimension ref="A1:O70"/>
  <sheetViews>
    <sheetView topLeftCell="A55" workbookViewId="0">
      <selection activeCell="I11" sqref="I11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tr">
        <f>'Caldicot Comp'!A3</f>
        <v xml:space="preserve"> School Budget Share for Financial Year 1st of April 2022 to 31st March 2023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29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 t="e">
        <f>#REF!</f>
        <v>#REF!</v>
      </c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tr">
        <f>'Caldicot Comp'!I11</f>
        <v>September 2021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 t="e">
        <f>#REF!</f>
        <v>#REF!</v>
      </c>
      <c r="F15" s="7"/>
      <c r="G15" s="9"/>
      <c r="H15" s="7"/>
      <c r="I15" s="19" t="e">
        <f>VLOOKUP($A$5,#REF!,3,FALSE)</f>
        <v>#REF!</v>
      </c>
      <c r="J15" s="7"/>
      <c r="K15" s="9"/>
      <c r="L15" s="7"/>
      <c r="M15" s="21" t="e">
        <f t="shared" ref="M15:M22" si="0">I15*E15</f>
        <v>#REF!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 t="e">
        <f>#REF!</f>
        <v>#REF!</v>
      </c>
      <c r="F16" s="7"/>
      <c r="G16" s="9"/>
      <c r="H16" s="7"/>
      <c r="I16" s="19" t="e">
        <f>VLOOKUP($A$5,#REF!,4,FALSE)</f>
        <v>#REF!</v>
      </c>
      <c r="J16" s="7"/>
      <c r="K16" s="9"/>
      <c r="L16" s="7"/>
      <c r="M16" s="21" t="e">
        <f t="shared" si="0"/>
        <v>#REF!</v>
      </c>
      <c r="N16" s="7"/>
      <c r="O16" s="7"/>
    </row>
    <row r="17" spans="1:15" ht="15" x14ac:dyDescent="0.2">
      <c r="A17" s="7"/>
      <c r="B17" s="7"/>
      <c r="C17" s="16" t="s">
        <v>2</v>
      </c>
      <c r="D17" s="7"/>
      <c r="E17" s="7" t="e">
        <f>#REF!</f>
        <v>#REF!</v>
      </c>
      <c r="F17" s="7"/>
      <c r="G17" s="9"/>
      <c r="H17" s="7"/>
      <c r="I17" s="19" t="e">
        <f>VLOOKUP($A$5,#REF!,5,FALSE)</f>
        <v>#REF!</v>
      </c>
      <c r="J17" s="7"/>
      <c r="K17" s="9"/>
      <c r="L17" s="7"/>
      <c r="M17" s="21" t="e">
        <f t="shared" si="0"/>
        <v>#REF!</v>
      </c>
      <c r="N17" s="7"/>
      <c r="O17" s="7"/>
    </row>
    <row r="18" spans="1:15" ht="15" x14ac:dyDescent="0.2">
      <c r="A18" s="7"/>
      <c r="B18" s="7"/>
      <c r="C18" s="16" t="s">
        <v>3</v>
      </c>
      <c r="D18" s="7"/>
      <c r="E18" s="7" t="e">
        <f>#REF!</f>
        <v>#REF!</v>
      </c>
      <c r="F18" s="7"/>
      <c r="G18" s="9"/>
      <c r="H18" s="7"/>
      <c r="I18" s="19" t="e">
        <f>VLOOKUP($A$5,#REF!,6,FALSE)</f>
        <v>#REF!</v>
      </c>
      <c r="J18" s="7"/>
      <c r="K18" s="9"/>
      <c r="L18" s="7"/>
      <c r="M18" s="21" t="e">
        <f t="shared" si="0"/>
        <v>#REF!</v>
      </c>
      <c r="N18" s="7"/>
      <c r="O18" s="7"/>
    </row>
    <row r="19" spans="1:15" ht="15" x14ac:dyDescent="0.2">
      <c r="A19" s="7"/>
      <c r="B19" s="7"/>
      <c r="C19" s="16" t="s">
        <v>4</v>
      </c>
      <c r="D19" s="7"/>
      <c r="E19" s="7" t="e">
        <f>#REF!</f>
        <v>#REF!</v>
      </c>
      <c r="F19" s="7"/>
      <c r="G19" s="9"/>
      <c r="H19" s="7"/>
      <c r="I19" s="19" t="e">
        <f>VLOOKUP($A$5,#REF!,7,FALSE)</f>
        <v>#REF!</v>
      </c>
      <c r="J19" s="7"/>
      <c r="K19" s="9"/>
      <c r="L19" s="7"/>
      <c r="M19" s="21" t="e">
        <f t="shared" si="0"/>
        <v>#REF!</v>
      </c>
      <c r="N19" s="7"/>
      <c r="O19" s="7"/>
    </row>
    <row r="20" spans="1:15" ht="15" x14ac:dyDescent="0.2">
      <c r="A20" s="7"/>
      <c r="B20" s="7"/>
      <c r="C20" s="16" t="s">
        <v>5</v>
      </c>
      <c r="D20" s="7"/>
      <c r="E20" s="7" t="e">
        <f>#REF!</f>
        <v>#REF!</v>
      </c>
      <c r="F20" s="7"/>
      <c r="G20" s="18"/>
      <c r="H20" s="7"/>
      <c r="I20" s="19" t="e">
        <f>VLOOKUP($A$5,#REF!,8,FALSE)</f>
        <v>#REF!</v>
      </c>
      <c r="J20" s="7"/>
      <c r="K20" s="20"/>
      <c r="L20" s="7"/>
      <c r="M20" s="21" t="e">
        <f t="shared" si="0"/>
        <v>#REF!</v>
      </c>
      <c r="N20" s="7"/>
      <c r="O20" s="7"/>
    </row>
    <row r="21" spans="1:15" ht="15" x14ac:dyDescent="0.2">
      <c r="A21" s="7"/>
      <c r="B21" s="7"/>
      <c r="C21" s="16" t="s">
        <v>6</v>
      </c>
      <c r="D21" s="7"/>
      <c r="E21" s="7" t="e">
        <f>#REF!</f>
        <v>#REF!</v>
      </c>
      <c r="F21" s="7"/>
      <c r="G21" s="18"/>
      <c r="H21" s="7"/>
      <c r="I21" s="19" t="e">
        <f>VLOOKUP($A$5,#REF!,9,FALSE)</f>
        <v>#REF!</v>
      </c>
      <c r="J21" s="7"/>
      <c r="K21" s="20"/>
      <c r="L21" s="7"/>
      <c r="M21" s="21" t="e">
        <f t="shared" si="0"/>
        <v>#REF!</v>
      </c>
      <c r="N21" s="7"/>
      <c r="O21" s="7"/>
    </row>
    <row r="22" spans="1:15" ht="15" x14ac:dyDescent="0.2">
      <c r="A22" s="7"/>
      <c r="B22" s="7"/>
      <c r="C22" s="16" t="s">
        <v>7</v>
      </c>
      <c r="D22" s="7"/>
      <c r="E22" s="7" t="e">
        <f>#REF!</f>
        <v>#REF!</v>
      </c>
      <c r="F22" s="7"/>
      <c r="G22" s="18"/>
      <c r="H22" s="7"/>
      <c r="I22" s="19" t="e">
        <f>VLOOKUP($A$5,#REF!,10,FALSE)</f>
        <v>#REF!</v>
      </c>
      <c r="J22" s="7"/>
      <c r="K22" s="20"/>
      <c r="L22" s="7"/>
      <c r="M22" s="21" t="e">
        <f t="shared" si="0"/>
        <v>#REF!</v>
      </c>
      <c r="N22" s="7"/>
      <c r="O22" s="7"/>
    </row>
    <row r="23" spans="1:15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5" ht="16.5" thickBot="1" x14ac:dyDescent="0.3">
      <c r="A24" s="7"/>
      <c r="B24" s="7"/>
      <c r="C24" s="7"/>
      <c r="D24" s="7"/>
      <c r="E24" s="7"/>
      <c r="F24" s="7"/>
      <c r="G24" s="18"/>
      <c r="H24" s="7"/>
      <c r="I24" s="80" t="e">
        <f>SUM(I15:I23)</f>
        <v>#REF!</v>
      </c>
      <c r="J24" s="7"/>
      <c r="K24" s="20"/>
      <c r="L24" s="7"/>
      <c r="M24" s="25" t="e">
        <f>SUM(M15:M23)</f>
        <v>#REF!</v>
      </c>
      <c r="N24" s="7"/>
      <c r="O24" s="26" t="e">
        <f>+M24</f>
        <v>#REF!</v>
      </c>
    </row>
    <row r="25" spans="1:15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5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 t="e">
        <f>VLOOKUP($A$5,#REF!,4,FALSE)</f>
        <v>#REF!</v>
      </c>
      <c r="N28" s="7"/>
      <c r="O28" s="7"/>
    </row>
    <row r="29" spans="1:15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 t="e">
        <f>VLOOKUP($A$5,#REF!,3,FALSE)</f>
        <v>#REF!</v>
      </c>
      <c r="N29" s="7"/>
      <c r="O29" s="7"/>
    </row>
    <row r="30" spans="1:15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 t="e">
        <f>VLOOKUP($A$5,#REF!,5,FALSE)</f>
        <v>#REF!</v>
      </c>
      <c r="N30" s="7"/>
      <c r="O30" s="7"/>
    </row>
    <row r="31" spans="1:15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 t="e">
        <f>VLOOKUP($A$5,#REF!,6,FALSE)</f>
        <v>#REF!</v>
      </c>
      <c r="N31" s="7"/>
      <c r="O31" s="7"/>
    </row>
    <row r="32" spans="1:15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 t="e">
        <f>VLOOKUP($A$5,#REF!,7,FALSE)</f>
        <v>#REF!</v>
      </c>
      <c r="N32" s="7"/>
      <c r="O32" s="7"/>
    </row>
    <row r="33" spans="1:15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 t="e">
        <f>VLOOKUP($A$5,#REF!,8,FALSE)</f>
        <v>#REF!</v>
      </c>
      <c r="N33" s="7"/>
      <c r="O33" s="7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</row>
    <row r="35" spans="1:15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 t="e">
        <f>VLOOKUP($A$5,#REF!,3,FALSE)</f>
        <v>#REF!</v>
      </c>
      <c r="N35" s="7"/>
      <c r="O35" s="7"/>
    </row>
    <row r="36" spans="1:15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 t="e">
        <f>VLOOKUP($A$5,#REF!,4,FALSE)</f>
        <v>#REF!</v>
      </c>
      <c r="N36" s="7"/>
      <c r="O36" s="7"/>
    </row>
    <row r="37" spans="1:15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 t="e">
        <f>VLOOKUP($A$5,#REF!,7,FALSE)</f>
        <v>#REF!</v>
      </c>
      <c r="N37" s="7"/>
      <c r="O37" s="7"/>
    </row>
    <row r="38" spans="1:15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 t="e">
        <f>VLOOKUP($A$5,#REF!,6,FALSE)</f>
        <v>#REF!</v>
      </c>
      <c r="N38" s="7"/>
      <c r="O38" s="7"/>
    </row>
    <row r="39" spans="1:15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 t="e">
        <f>VLOOKUP($A$5,#REF!,9,FALSE)</f>
        <v>#REF!</v>
      </c>
      <c r="N39" s="7"/>
      <c r="O39" s="7"/>
    </row>
    <row r="40" spans="1:15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 t="e">
        <f>VLOOKUP($A$5,#REF!,8,FALSE)</f>
        <v>#REF!</v>
      </c>
      <c r="N40" s="7"/>
      <c r="O40" s="7"/>
    </row>
    <row r="41" spans="1:15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 t="e">
        <f>VLOOKUP($A$5,#REF!,10,FALSE)</f>
        <v>#REF!</v>
      </c>
      <c r="N41" s="7"/>
      <c r="O41" s="7"/>
    </row>
    <row r="42" spans="1:15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 t="e">
        <f>VLOOKUP($A$5,#REF!,11,FALSE)</f>
        <v>#REF!</v>
      </c>
      <c r="N42" s="7"/>
      <c r="O42" s="7"/>
    </row>
    <row r="43" spans="1:15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 t="e">
        <f>#REF!</f>
        <v>#REF!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 t="e">
        <f>VLOOKUP($A$5,#REF!,5,FALSE)</f>
        <v>#REF!</v>
      </c>
      <c r="N45" s="7"/>
      <c r="O45" s="7"/>
    </row>
    <row r="46" spans="1:15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 t="e">
        <f>VLOOKUP($A$5,#REF!,6,FALSE)</f>
        <v>#REF!</v>
      </c>
      <c r="N46" s="7"/>
      <c r="O46" s="7"/>
    </row>
    <row r="47" spans="1:15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 t="e">
        <f>VLOOKUP($A$5,#REF!,3,FALSE)+VLOOKUP($A$5,#REF!,4,FALSE)</f>
        <v>#REF!</v>
      </c>
      <c r="N47" s="7"/>
      <c r="O47" s="7"/>
    </row>
    <row r="48" spans="1:15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</row>
    <row r="49" spans="1:15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f>VLOOKUP($A$5,Threshold!$A$6:$I$851,9,FALSE)</f>
        <v>0</v>
      </c>
      <c r="N49" s="7"/>
      <c r="O49" s="7"/>
    </row>
    <row r="50" spans="1:15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 t="e">
        <f>VLOOKUP($A$5,#REF!,13,FALSE)</f>
        <v>#REF!</v>
      </c>
      <c r="N50" s="7"/>
      <c r="O50" s="7"/>
    </row>
    <row r="51" spans="1:15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 t="e">
        <f>SUM(M28:M50)</f>
        <v>#REF!</v>
      </c>
      <c r="N52" s="7"/>
      <c r="O52" s="31" t="e">
        <f>+M52</f>
        <v>#REF!</v>
      </c>
    </row>
    <row r="53" spans="1:15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5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5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5" ht="15" x14ac:dyDescent="0.2">
      <c r="A57" s="7"/>
      <c r="B57" s="7"/>
      <c r="C57" s="7" t="s">
        <v>75</v>
      </c>
      <c r="D57" s="7"/>
      <c r="E57" s="11"/>
      <c r="F57" s="7"/>
      <c r="G57" s="7"/>
      <c r="H57" s="7"/>
      <c r="I57" s="7"/>
      <c r="J57" s="7"/>
      <c r="K57" s="7"/>
      <c r="L57" s="7"/>
      <c r="M57" s="27" t="e">
        <f>VLOOKUP($A$5,#REF!,3,FALSE)</f>
        <v>#REF!</v>
      </c>
      <c r="N57" s="7"/>
      <c r="O57" s="7"/>
    </row>
    <row r="58" spans="1:15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5" ht="15" x14ac:dyDescent="0.2">
      <c r="A59" s="7"/>
      <c r="B59" s="7"/>
      <c r="C59" s="29" t="s">
        <v>76</v>
      </c>
      <c r="D59" s="7"/>
      <c r="E59" s="36"/>
      <c r="F59" s="7"/>
      <c r="G59" s="12"/>
      <c r="H59" s="7"/>
      <c r="I59" s="12"/>
      <c r="J59" s="7"/>
      <c r="K59" s="12"/>
      <c r="L59" s="7"/>
      <c r="M59" s="27" t="e">
        <f>VLOOKUP($A$5,#REF!,4,FALSE)</f>
        <v>#REF!</v>
      </c>
      <c r="N59" s="7"/>
      <c r="O59" s="7"/>
    </row>
    <row r="60" spans="1:15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5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5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5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 t="e">
        <f>SUM(M57:M62)</f>
        <v>#REF!</v>
      </c>
      <c r="N63" s="7"/>
      <c r="O63" s="7"/>
    </row>
    <row r="64" spans="1:15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 t="e">
        <f>VLOOKUP($A$5,#REF!,5,FALSE)+VLOOKUP($A$5,#REF!,6,FALSE)+VLOOKUP($A$5,#REF!,7,FALSE)+VLOOKUP($A$5,#REF!,8,FALSE)+VLOOKUP($A$5,#REF!,9,FALSE)</f>
        <v>#REF!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 t="e">
        <f>SUM(M63:M65)</f>
        <v>#REF!</v>
      </c>
      <c r="N66" s="7"/>
      <c r="O66" s="39" t="e">
        <f>+M66</f>
        <v>#REF!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 t="e">
        <f>SUM(O11:O66)</f>
        <v>#REF!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7">
    <pageSetUpPr fitToPage="1"/>
  </sheetPr>
  <dimension ref="A1:O70"/>
  <sheetViews>
    <sheetView zoomScale="80" zoomScaleNormal="80" workbookViewId="0">
      <selection activeCell="R10" sqref="R10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30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0</v>
      </c>
      <c r="J15" s="7"/>
      <c r="K15" s="9"/>
      <c r="L15" s="7"/>
      <c r="M15" s="21">
        <v>0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30</v>
      </c>
      <c r="J16" s="7"/>
      <c r="K16" s="9"/>
      <c r="L16" s="7"/>
      <c r="M16" s="21">
        <v>74903.385490861954</v>
      </c>
      <c r="N16" s="7"/>
      <c r="O16" s="7"/>
    </row>
    <row r="17" spans="1:15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29</v>
      </c>
      <c r="J17" s="7"/>
      <c r="K17" s="9"/>
      <c r="L17" s="7"/>
      <c r="M17" s="21">
        <v>72406.605974499893</v>
      </c>
      <c r="N17" s="7"/>
      <c r="O17" s="7"/>
    </row>
    <row r="18" spans="1:15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28</v>
      </c>
      <c r="J18" s="7"/>
      <c r="K18" s="9"/>
      <c r="L18" s="7"/>
      <c r="M18" s="21">
        <v>69909.826458137832</v>
      </c>
      <c r="N18" s="7"/>
      <c r="O18" s="7"/>
    </row>
    <row r="19" spans="1:15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30</v>
      </c>
      <c r="J19" s="7"/>
      <c r="K19" s="9"/>
      <c r="L19" s="7"/>
      <c r="M19" s="21">
        <v>73937.764851694461</v>
      </c>
      <c r="N19" s="7"/>
      <c r="O19" s="7"/>
    </row>
    <row r="20" spans="1:15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30</v>
      </c>
      <c r="J20" s="7"/>
      <c r="K20" s="20"/>
      <c r="L20" s="7"/>
      <c r="M20" s="21">
        <v>73937.764851694461</v>
      </c>
      <c r="N20" s="7"/>
      <c r="O20" s="7"/>
    </row>
    <row r="21" spans="1:15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28</v>
      </c>
      <c r="J21" s="7"/>
      <c r="K21" s="20"/>
      <c r="L21" s="7"/>
      <c r="M21" s="21">
        <v>69008.58052824816</v>
      </c>
      <c r="N21" s="7"/>
      <c r="O21" s="7"/>
    </row>
    <row r="22" spans="1:15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29</v>
      </c>
      <c r="J22" s="7"/>
      <c r="K22" s="20"/>
      <c r="L22" s="7"/>
      <c r="M22" s="21">
        <v>71473.17268997131</v>
      </c>
      <c r="N22" s="7"/>
      <c r="O22" s="7"/>
    </row>
    <row r="23" spans="1:15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5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204</v>
      </c>
      <c r="J24" s="7"/>
      <c r="K24" s="20"/>
      <c r="L24" s="7"/>
      <c r="M24" s="25">
        <v>505577.10084510804</v>
      </c>
      <c r="N24" s="7"/>
      <c r="O24" s="26">
        <v>505577.10084510804</v>
      </c>
    </row>
    <row r="25" spans="1:15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5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5815.5085454405671</v>
      </c>
      <c r="N28" s="7"/>
      <c r="O28" s="7"/>
    </row>
    <row r="29" spans="1:15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7"/>
    </row>
    <row r="30" spans="1:15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13062.688511916709</v>
      </c>
      <c r="N30" s="7"/>
      <c r="O30" s="7"/>
    </row>
    <row r="31" spans="1:15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14718.732459614483</v>
      </c>
      <c r="N31" s="7"/>
      <c r="O31" s="7"/>
    </row>
    <row r="32" spans="1:15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25145</v>
      </c>
      <c r="N32" s="7"/>
      <c r="O32" s="7"/>
    </row>
    <row r="33" spans="1:15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4577.2004093828364</v>
      </c>
      <c r="N33" s="7"/>
      <c r="O33" s="7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</row>
    <row r="35" spans="1:15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</row>
    <row r="36" spans="1:15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1741.332140625</v>
      </c>
      <c r="N36" s="7"/>
      <c r="O36" s="7"/>
    </row>
    <row r="37" spans="1:15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1676</v>
      </c>
      <c r="N37" s="7"/>
      <c r="O37" s="7"/>
    </row>
    <row r="38" spans="1:15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6001.68</v>
      </c>
      <c r="N38" s="7"/>
      <c r="O38" s="7"/>
    </row>
    <row r="39" spans="1:15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1000</v>
      </c>
      <c r="N39" s="7"/>
      <c r="O39" s="7"/>
    </row>
    <row r="40" spans="1:15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2470.3870937499996</v>
      </c>
      <c r="N40" s="7"/>
      <c r="O40" s="7"/>
    </row>
    <row r="41" spans="1:15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847.42475145507785</v>
      </c>
      <c r="N41" s="7"/>
      <c r="O41" s="7"/>
    </row>
    <row r="42" spans="1:15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257.9610725390624</v>
      </c>
      <c r="N42" s="7"/>
      <c r="O42" s="7"/>
    </row>
    <row r="43" spans="1:15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</row>
    <row r="46" spans="1:15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313.04347826086956</v>
      </c>
      <c r="N46" s="7"/>
      <c r="O46" s="7"/>
    </row>
    <row r="47" spans="1:15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17339.963123999998</v>
      </c>
      <c r="N47" s="7"/>
      <c r="O47" s="7"/>
    </row>
    <row r="48" spans="1:15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</row>
    <row r="49" spans="1:15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</row>
    <row r="50" spans="1:15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104575.17079999999</v>
      </c>
      <c r="N50" s="7"/>
      <c r="O50" s="7"/>
    </row>
    <row r="51" spans="1:15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227199.55982698462</v>
      </c>
      <c r="N52" s="7"/>
      <c r="O52" s="31">
        <v>227199.55982698462</v>
      </c>
    </row>
    <row r="53" spans="1:15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5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5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5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</row>
    <row r="58" spans="1:15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5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88165</v>
      </c>
      <c r="N59" s="7"/>
      <c r="O59" s="7"/>
    </row>
    <row r="60" spans="1:15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5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5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5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88165</v>
      </c>
      <c r="N63" s="7"/>
      <c r="O63" s="7"/>
    </row>
    <row r="64" spans="1:15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88165</v>
      </c>
      <c r="N66" s="7"/>
      <c r="O66" s="39">
        <v>88165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820941.66067209269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8">
    <pageSetUpPr fitToPage="1"/>
  </sheetPr>
  <dimension ref="A1:O70"/>
  <sheetViews>
    <sheetView zoomScale="80" zoomScaleNormal="80" workbookViewId="0">
      <selection activeCell="Q11" sqref="Q11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31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0</v>
      </c>
      <c r="J15" s="7"/>
      <c r="K15" s="9"/>
      <c r="L15" s="7"/>
      <c r="M15" s="21">
        <v>0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23</v>
      </c>
      <c r="J16" s="7"/>
      <c r="K16" s="9"/>
      <c r="L16" s="7"/>
      <c r="M16" s="21">
        <v>57425.928876327504</v>
      </c>
      <c r="N16" s="7"/>
      <c r="O16" s="7"/>
    </row>
    <row r="17" spans="1:15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18</v>
      </c>
      <c r="J17" s="7"/>
      <c r="K17" s="9"/>
      <c r="L17" s="7"/>
      <c r="M17" s="21">
        <v>44942.031294517175</v>
      </c>
      <c r="N17" s="7"/>
      <c r="O17" s="7"/>
    </row>
    <row r="18" spans="1:15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29</v>
      </c>
      <c r="J18" s="7"/>
      <c r="K18" s="9"/>
      <c r="L18" s="7"/>
      <c r="M18" s="21">
        <v>72406.605974499893</v>
      </c>
      <c r="N18" s="7"/>
      <c r="O18" s="7"/>
    </row>
    <row r="19" spans="1:15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29</v>
      </c>
      <c r="J19" s="7"/>
      <c r="K19" s="9"/>
      <c r="L19" s="7"/>
      <c r="M19" s="21">
        <v>71473.17268997131</v>
      </c>
      <c r="N19" s="7"/>
      <c r="O19" s="7"/>
    </row>
    <row r="20" spans="1:15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30</v>
      </c>
      <c r="J20" s="7"/>
      <c r="K20" s="20"/>
      <c r="L20" s="7"/>
      <c r="M20" s="21">
        <v>73937.764851694461</v>
      </c>
      <c r="N20" s="7"/>
      <c r="O20" s="7"/>
    </row>
    <row r="21" spans="1:15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30</v>
      </c>
      <c r="J21" s="7"/>
      <c r="K21" s="20"/>
      <c r="L21" s="7"/>
      <c r="M21" s="21">
        <v>73937.764851694461</v>
      </c>
      <c r="N21" s="7"/>
      <c r="O21" s="7"/>
    </row>
    <row r="22" spans="1:15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30</v>
      </c>
      <c r="J22" s="7"/>
      <c r="K22" s="20"/>
      <c r="L22" s="7"/>
      <c r="M22" s="21">
        <v>73937.764851694461</v>
      </c>
      <c r="N22" s="7"/>
      <c r="O22" s="7"/>
    </row>
    <row r="23" spans="1:15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5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189</v>
      </c>
      <c r="J24" s="7"/>
      <c r="K24" s="20"/>
      <c r="L24" s="7"/>
      <c r="M24" s="25">
        <v>468061.0333903993</v>
      </c>
      <c r="N24" s="7"/>
      <c r="O24" s="26">
        <v>468061.0333903993</v>
      </c>
    </row>
    <row r="25" spans="1:15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5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4537.0518342508531</v>
      </c>
      <c r="N28" s="7"/>
      <c r="O28" s="7"/>
    </row>
    <row r="29" spans="1:15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7"/>
    </row>
    <row r="30" spans="1:15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10191.042521931229</v>
      </c>
      <c r="N30" s="7"/>
      <c r="O30" s="7"/>
    </row>
    <row r="31" spans="1:15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11483.028798246296</v>
      </c>
      <c r="N31" s="7"/>
      <c r="O31" s="7"/>
    </row>
    <row r="32" spans="1:15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18725</v>
      </c>
      <c r="N32" s="7"/>
      <c r="O32" s="7"/>
    </row>
    <row r="33" spans="1:15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8703.9672039494162</v>
      </c>
      <c r="N33" s="7"/>
      <c r="O33" s="7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</row>
    <row r="35" spans="1:15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</row>
    <row r="36" spans="1:15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1741.332140625</v>
      </c>
      <c r="N36" s="7"/>
      <c r="O36" s="7"/>
    </row>
    <row r="37" spans="1:15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1676</v>
      </c>
      <c r="N37" s="7"/>
      <c r="O37" s="7"/>
    </row>
    <row r="38" spans="1:15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5560.38</v>
      </c>
      <c r="N38" s="7"/>
      <c r="O38" s="7"/>
    </row>
    <row r="39" spans="1:15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1000</v>
      </c>
      <c r="N39" s="7"/>
      <c r="O39" s="7"/>
    </row>
    <row r="40" spans="1:15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2470.3870937499996</v>
      </c>
      <c r="N40" s="7"/>
      <c r="O40" s="7"/>
    </row>
    <row r="41" spans="1:15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847.42475145507785</v>
      </c>
      <c r="N41" s="7"/>
      <c r="O41" s="7"/>
    </row>
    <row r="42" spans="1:15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257.9610725390624</v>
      </c>
      <c r="N42" s="7"/>
      <c r="O42" s="7"/>
    </row>
    <row r="43" spans="1:15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</row>
    <row r="46" spans="1:15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347.82608695652175</v>
      </c>
      <c r="N46" s="7"/>
      <c r="O46" s="7"/>
    </row>
    <row r="47" spans="1:15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17339.963123999998</v>
      </c>
      <c r="N47" s="7"/>
      <c r="O47" s="7"/>
    </row>
    <row r="48" spans="1:15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</row>
    <row r="49" spans="1:15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</row>
    <row r="50" spans="1:15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124042.8653</v>
      </c>
      <c r="N50" s="7"/>
      <c r="O50" s="7"/>
    </row>
    <row r="51" spans="1:15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236581.69736770348</v>
      </c>
      <c r="N52" s="7"/>
      <c r="O52" s="31">
        <v>236581.69736770348</v>
      </c>
    </row>
    <row r="53" spans="1:15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5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5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5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</row>
    <row r="58" spans="1:15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5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52427</v>
      </c>
      <c r="N59" s="7"/>
      <c r="O59" s="7"/>
    </row>
    <row r="60" spans="1:15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5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5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5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52427</v>
      </c>
      <c r="N63" s="7"/>
      <c r="O63" s="7"/>
    </row>
    <row r="64" spans="1:15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52427</v>
      </c>
      <c r="N66" s="7"/>
      <c r="O66" s="39">
        <v>52427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757069.73075810284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9">
    <pageSetUpPr fitToPage="1"/>
  </sheetPr>
  <dimension ref="A1:O70"/>
  <sheetViews>
    <sheetView zoomScale="80" zoomScaleNormal="80" workbookViewId="0">
      <selection activeCell="P14" sqref="P14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32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0</v>
      </c>
      <c r="J15" s="7"/>
      <c r="K15" s="9"/>
      <c r="L15" s="7"/>
      <c r="M15" s="21">
        <v>0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13</v>
      </c>
      <c r="J16" s="7"/>
      <c r="K16" s="9"/>
      <c r="L16" s="7"/>
      <c r="M16" s="21">
        <v>32458.133712706851</v>
      </c>
      <c r="N16" s="7"/>
      <c r="O16" s="7"/>
    </row>
    <row r="17" spans="1:15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12</v>
      </c>
      <c r="J17" s="7"/>
      <c r="K17" s="9"/>
      <c r="L17" s="7"/>
      <c r="M17" s="21">
        <v>29961.354196344786</v>
      </c>
      <c r="N17" s="7"/>
      <c r="O17" s="7"/>
    </row>
    <row r="18" spans="1:15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10</v>
      </c>
      <c r="J18" s="7"/>
      <c r="K18" s="9"/>
      <c r="L18" s="7"/>
      <c r="M18" s="21">
        <v>24967.795163620653</v>
      </c>
      <c r="N18" s="7"/>
      <c r="O18" s="7"/>
    </row>
    <row r="19" spans="1:15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7</v>
      </c>
      <c r="J19" s="7"/>
      <c r="K19" s="9"/>
      <c r="L19" s="7"/>
      <c r="M19" s="21">
        <v>17252.14513206204</v>
      </c>
      <c r="N19" s="7"/>
      <c r="O19" s="7"/>
    </row>
    <row r="20" spans="1:15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13</v>
      </c>
      <c r="J20" s="7"/>
      <c r="K20" s="20"/>
      <c r="L20" s="7"/>
      <c r="M20" s="21">
        <v>32039.698102400936</v>
      </c>
      <c r="N20" s="7"/>
      <c r="O20" s="7"/>
    </row>
    <row r="21" spans="1:15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9</v>
      </c>
      <c r="J21" s="7"/>
      <c r="K21" s="20"/>
      <c r="L21" s="7"/>
      <c r="M21" s="21">
        <v>22181.329455508341</v>
      </c>
      <c r="N21" s="7"/>
      <c r="O21" s="7"/>
    </row>
    <row r="22" spans="1:15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12</v>
      </c>
      <c r="J22" s="7"/>
      <c r="K22" s="20"/>
      <c r="L22" s="7"/>
      <c r="M22" s="21">
        <v>29575.105940677786</v>
      </c>
      <c r="N22" s="7"/>
      <c r="O22" s="7"/>
    </row>
    <row r="23" spans="1:15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5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76</v>
      </c>
      <c r="J24" s="7"/>
      <c r="K24" s="20"/>
      <c r="L24" s="7"/>
      <c r="M24" s="25">
        <v>188435.56170332138</v>
      </c>
      <c r="N24" s="7"/>
      <c r="O24" s="26">
        <v>188435.56170332138</v>
      </c>
    </row>
    <row r="25" spans="1:15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5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2437.8846940962476</v>
      </c>
      <c r="N28" s="7"/>
      <c r="O28" s="7"/>
    </row>
    <row r="29" spans="1:15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13329.23372</v>
      </c>
      <c r="N29" s="7"/>
      <c r="O29" s="7"/>
    </row>
    <row r="30" spans="1:15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5475.9318360757607</v>
      </c>
      <c r="N30" s="7"/>
      <c r="O30" s="7"/>
    </row>
    <row r="31" spans="1:15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6170.152154264164</v>
      </c>
      <c r="N31" s="7"/>
      <c r="O31" s="7"/>
    </row>
    <row r="32" spans="1:15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5029</v>
      </c>
      <c r="N32" s="7"/>
      <c r="O32" s="7"/>
    </row>
    <row r="33" spans="1:15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4381.7917088375489</v>
      </c>
      <c r="N33" s="7"/>
      <c r="O33" s="7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</row>
    <row r="35" spans="1:15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</row>
    <row r="36" spans="1:15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1583.0292187499999</v>
      </c>
      <c r="N36" s="7"/>
      <c r="O36" s="7"/>
    </row>
    <row r="37" spans="1:15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928</v>
      </c>
      <c r="N37" s="7"/>
      <c r="O37" s="7"/>
    </row>
    <row r="38" spans="1:15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2235.92</v>
      </c>
      <c r="N38" s="7"/>
      <c r="O38" s="7"/>
    </row>
    <row r="39" spans="1:15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200</v>
      </c>
      <c r="N39" s="7"/>
      <c r="O39" s="7"/>
    </row>
    <row r="40" spans="1:15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1996.55521875</v>
      </c>
      <c r="N40" s="7"/>
      <c r="O40" s="7"/>
    </row>
    <row r="41" spans="1:15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312.26866675781247</v>
      </c>
      <c r="N41" s="7"/>
      <c r="O41" s="7"/>
    </row>
    <row r="42" spans="1:15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95.038289882812478</v>
      </c>
      <c r="N42" s="7"/>
      <c r="O42" s="7"/>
    </row>
    <row r="43" spans="1:15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</row>
    <row r="46" spans="1:15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0</v>
      </c>
      <c r="N46" s="7"/>
      <c r="O46" s="7"/>
    </row>
    <row r="47" spans="1:15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11559.975415999999</v>
      </c>
      <c r="N47" s="7"/>
      <c r="O47" s="7"/>
    </row>
    <row r="48" spans="1:15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</row>
    <row r="49" spans="1:15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</row>
    <row r="50" spans="1:15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90501.772499999992</v>
      </c>
      <c r="N50" s="7"/>
      <c r="O50" s="7"/>
    </row>
    <row r="51" spans="1:15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147235.55342341433</v>
      </c>
      <c r="N52" s="7"/>
      <c r="O52" s="31">
        <v>147235.55342341433</v>
      </c>
    </row>
    <row r="53" spans="1:15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5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5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5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</row>
    <row r="58" spans="1:15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5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17384</v>
      </c>
      <c r="N59" s="7"/>
      <c r="O59" s="7"/>
    </row>
    <row r="60" spans="1:15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5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5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5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17384</v>
      </c>
      <c r="N63" s="7"/>
      <c r="O63" s="7"/>
    </row>
    <row r="64" spans="1:15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17384</v>
      </c>
      <c r="N66" s="7"/>
      <c r="O66" s="39">
        <v>17384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353055.11512673571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50">
    <pageSetUpPr fitToPage="1"/>
  </sheetPr>
  <dimension ref="A1:O70"/>
  <sheetViews>
    <sheetView zoomScale="80" zoomScaleNormal="80" workbookViewId="0">
      <selection activeCell="Q9" sqref="Q9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33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14</v>
      </c>
      <c r="J15" s="7"/>
      <c r="K15" s="9"/>
      <c r="L15" s="7"/>
      <c r="M15" s="21">
        <v>34964.506900065906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47</v>
      </c>
      <c r="J16" s="7"/>
      <c r="K16" s="9"/>
      <c r="L16" s="7"/>
      <c r="M16" s="21">
        <v>117348.63726901707</v>
      </c>
      <c r="N16" s="7"/>
      <c r="O16" s="7"/>
    </row>
    <row r="17" spans="1:15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32</v>
      </c>
      <c r="J17" s="7"/>
      <c r="K17" s="9"/>
      <c r="L17" s="7"/>
      <c r="M17" s="21">
        <v>79896.944523586091</v>
      </c>
      <c r="N17" s="7"/>
      <c r="O17" s="7"/>
    </row>
    <row r="18" spans="1:15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29</v>
      </c>
      <c r="J18" s="7"/>
      <c r="K18" s="9"/>
      <c r="L18" s="7"/>
      <c r="M18" s="21">
        <v>72406.605974499893</v>
      </c>
      <c r="N18" s="7"/>
      <c r="O18" s="7"/>
    </row>
    <row r="19" spans="1:15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44</v>
      </c>
      <c r="J19" s="7"/>
      <c r="K19" s="9"/>
      <c r="L19" s="7"/>
      <c r="M19" s="21">
        <v>108442.05511581854</v>
      </c>
      <c r="N19" s="7"/>
      <c r="O19" s="7"/>
    </row>
    <row r="20" spans="1:15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38</v>
      </c>
      <c r="J20" s="7"/>
      <c r="K20" s="20"/>
      <c r="L20" s="7"/>
      <c r="M20" s="21">
        <v>93654.502145479652</v>
      </c>
      <c r="N20" s="7"/>
      <c r="O20" s="7"/>
    </row>
    <row r="21" spans="1:15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31</v>
      </c>
      <c r="J21" s="7"/>
      <c r="K21" s="20"/>
      <c r="L21" s="7"/>
      <c r="M21" s="21">
        <v>76402.357013417612</v>
      </c>
      <c r="N21" s="7"/>
      <c r="O21" s="7"/>
    </row>
    <row r="22" spans="1:15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49</v>
      </c>
      <c r="J22" s="7"/>
      <c r="K22" s="20"/>
      <c r="L22" s="7"/>
      <c r="M22" s="21">
        <v>120765.01592443429</v>
      </c>
      <c r="N22" s="7"/>
      <c r="O22" s="7"/>
    </row>
    <row r="23" spans="1:15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5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284</v>
      </c>
      <c r="J24" s="7"/>
      <c r="K24" s="20"/>
      <c r="L24" s="7"/>
      <c r="M24" s="25">
        <v>703880.62486631912</v>
      </c>
      <c r="N24" s="7"/>
      <c r="O24" s="26">
        <v>703880.62486631912</v>
      </c>
    </row>
    <row r="25" spans="1:15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5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7787.1239125707261</v>
      </c>
      <c r="N28" s="7"/>
      <c r="O28" s="7"/>
    </row>
    <row r="29" spans="1:15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7"/>
    </row>
    <row r="30" spans="1:15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17491.294747277076</v>
      </c>
      <c r="N30" s="7"/>
      <c r="O30" s="7"/>
    </row>
    <row r="31" spans="1:15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19708.78257738195</v>
      </c>
      <c r="N31" s="7"/>
      <c r="O31" s="7"/>
    </row>
    <row r="32" spans="1:15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3477.5</v>
      </c>
      <c r="N32" s="7"/>
      <c r="O32" s="7"/>
    </row>
    <row r="33" spans="1:15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3924.7340702739948</v>
      </c>
      <c r="N33" s="7"/>
      <c r="O33" s="7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</row>
    <row r="35" spans="1:15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</row>
    <row r="36" spans="1:15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1741.332140625</v>
      </c>
      <c r="N36" s="7"/>
      <c r="O36" s="7"/>
    </row>
    <row r="37" spans="1:15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1676</v>
      </c>
      <c r="N37" s="7"/>
      <c r="O37" s="7"/>
    </row>
    <row r="38" spans="1:15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8355.2800000000007</v>
      </c>
      <c r="N38" s="7"/>
      <c r="O38" s="7"/>
    </row>
    <row r="39" spans="1:15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1000</v>
      </c>
      <c r="N39" s="7"/>
      <c r="O39" s="7"/>
    </row>
    <row r="40" spans="1:15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2470.3870937499996</v>
      </c>
      <c r="N40" s="7"/>
      <c r="O40" s="7"/>
    </row>
    <row r="41" spans="1:15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2541.1428461523428</v>
      </c>
      <c r="N41" s="7"/>
      <c r="O41" s="7"/>
    </row>
    <row r="42" spans="1:15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773.88321761718737</v>
      </c>
      <c r="N42" s="7"/>
      <c r="O42" s="7"/>
    </row>
    <row r="43" spans="1:15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</row>
    <row r="46" spans="1:15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0</v>
      </c>
      <c r="N46" s="7"/>
      <c r="O46" s="7"/>
    </row>
    <row r="47" spans="1:15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28899.938539999999</v>
      </c>
      <c r="N47" s="7"/>
      <c r="O47" s="7"/>
    </row>
    <row r="48" spans="1:15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</row>
    <row r="49" spans="1:15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</row>
    <row r="50" spans="1:15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153693.66153846151</v>
      </c>
      <c r="N50" s="7"/>
      <c r="O50" s="7"/>
    </row>
    <row r="51" spans="1:15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281198.52812410978</v>
      </c>
      <c r="N52" s="7"/>
      <c r="O52" s="31">
        <v>281198.52812410978</v>
      </c>
    </row>
    <row r="53" spans="1:15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5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5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5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</row>
    <row r="58" spans="1:15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5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130027</v>
      </c>
      <c r="N59" s="7"/>
      <c r="O59" s="7"/>
    </row>
    <row r="60" spans="1:15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5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5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5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130027</v>
      </c>
      <c r="N63" s="7"/>
      <c r="O63" s="7"/>
    </row>
    <row r="64" spans="1:15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130027</v>
      </c>
      <c r="N66" s="7"/>
      <c r="O66" s="39">
        <v>130027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1115106.152990429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51">
    <pageSetUpPr fitToPage="1"/>
  </sheetPr>
  <dimension ref="A1:T70"/>
  <sheetViews>
    <sheetView zoomScale="80" zoomScaleNormal="80" workbookViewId="0">
      <selection activeCell="Q6" sqref="Q6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34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0</v>
      </c>
      <c r="J15" s="7"/>
      <c r="K15" s="9"/>
      <c r="L15" s="7"/>
      <c r="M15" s="21">
        <v>0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29</v>
      </c>
      <c r="J16" s="7"/>
      <c r="K16" s="9"/>
      <c r="L16" s="7"/>
      <c r="M16" s="21">
        <v>72406.605974499893</v>
      </c>
      <c r="N16" s="7"/>
      <c r="O16" s="7"/>
    </row>
    <row r="17" spans="1:20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30</v>
      </c>
      <c r="J17" s="7"/>
      <c r="K17" s="9"/>
      <c r="L17" s="7"/>
      <c r="M17" s="21">
        <v>74903.385490861954</v>
      </c>
      <c r="N17" s="7"/>
      <c r="O17" s="7"/>
    </row>
    <row r="18" spans="1:20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28</v>
      </c>
      <c r="J18" s="7"/>
      <c r="K18" s="9"/>
      <c r="L18" s="7"/>
      <c r="M18" s="21">
        <v>69909.826458137832</v>
      </c>
      <c r="N18" s="7"/>
      <c r="O18" s="7"/>
    </row>
    <row r="19" spans="1:20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26</v>
      </c>
      <c r="J19" s="7"/>
      <c r="K19" s="9"/>
      <c r="L19" s="7"/>
      <c r="M19" s="21">
        <v>64079.396204801873</v>
      </c>
      <c r="N19" s="7"/>
      <c r="O19" s="7"/>
    </row>
    <row r="20" spans="1:20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29</v>
      </c>
      <c r="J20" s="7"/>
      <c r="K20" s="20"/>
      <c r="L20" s="7"/>
      <c r="M20" s="21">
        <v>71473.17268997131</v>
      </c>
      <c r="N20" s="7"/>
      <c r="O20" s="7"/>
    </row>
    <row r="21" spans="1:20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31</v>
      </c>
      <c r="J21" s="7"/>
      <c r="K21" s="20"/>
      <c r="L21" s="7"/>
      <c r="M21" s="21">
        <v>76402.357013417612</v>
      </c>
      <c r="N21" s="7"/>
      <c r="O21" s="7"/>
    </row>
    <row r="22" spans="1:20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31</v>
      </c>
      <c r="J22" s="7"/>
      <c r="K22" s="20"/>
      <c r="L22" s="7"/>
      <c r="M22" s="21">
        <v>76402.357013417612</v>
      </c>
      <c r="N22" s="7"/>
      <c r="O22" s="7"/>
    </row>
    <row r="23" spans="1:20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20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204</v>
      </c>
      <c r="J24" s="7"/>
      <c r="K24" s="20"/>
      <c r="L24" s="7"/>
      <c r="M24" s="25">
        <v>505577.10084510816</v>
      </c>
      <c r="N24" s="7"/>
      <c r="O24" s="26">
        <v>505577.10084510816</v>
      </c>
    </row>
    <row r="25" spans="1:20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20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20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20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5066.0684043983201</v>
      </c>
      <c r="N28" s="7"/>
      <c r="O28" s="7"/>
      <c r="T28" s="82"/>
    </row>
    <row r="29" spans="1:20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7"/>
      <c r="T29" s="82"/>
    </row>
    <row r="30" spans="1:20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11379.309828132118</v>
      </c>
      <c r="N30" s="7"/>
      <c r="O30" s="7"/>
      <c r="T30" s="82"/>
    </row>
    <row r="31" spans="1:20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12821.940658122787</v>
      </c>
      <c r="N31" s="7"/>
      <c r="O31" s="7"/>
      <c r="T31" s="82"/>
    </row>
    <row r="32" spans="1:20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15916.250000000002</v>
      </c>
      <c r="N32" s="7"/>
      <c r="O32" s="7"/>
      <c r="T32" s="82"/>
    </row>
    <row r="33" spans="1:20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6498.1672960992219</v>
      </c>
      <c r="N33" s="7"/>
      <c r="O33" s="7"/>
      <c r="T33" s="82"/>
    </row>
    <row r="34" spans="1:20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  <c r="T34" s="82"/>
    </row>
    <row r="35" spans="1:20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  <c r="T35" s="82"/>
    </row>
    <row r="36" spans="1:20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1741.332140625</v>
      </c>
      <c r="N36" s="7"/>
      <c r="O36" s="7"/>
      <c r="T36" s="82"/>
    </row>
    <row r="37" spans="1:20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1676</v>
      </c>
      <c r="N37" s="7"/>
      <c r="O37" s="7"/>
      <c r="T37" s="82"/>
    </row>
    <row r="38" spans="1:20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6001.68</v>
      </c>
      <c r="N38" s="7"/>
      <c r="O38" s="7"/>
      <c r="T38" s="82"/>
    </row>
    <row r="39" spans="1:20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1000</v>
      </c>
      <c r="N39" s="7"/>
      <c r="O39" s="7"/>
      <c r="T39" s="82"/>
    </row>
    <row r="40" spans="1:20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2470.3870937499996</v>
      </c>
      <c r="N40" s="7"/>
      <c r="O40" s="7"/>
      <c r="T40" s="82"/>
    </row>
    <row r="41" spans="1:20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1693.7180946972651</v>
      </c>
      <c r="N41" s="7"/>
      <c r="O41" s="7"/>
      <c r="T41" s="82"/>
    </row>
    <row r="42" spans="1:20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515.9221450781248</v>
      </c>
      <c r="N42" s="7"/>
      <c r="O42" s="7"/>
      <c r="T42" s="82"/>
    </row>
    <row r="43" spans="1:20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  <c r="T43" s="82"/>
    </row>
    <row r="44" spans="1:20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  <c r="T44" s="82"/>
    </row>
    <row r="45" spans="1:20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  <c r="T45" s="82"/>
    </row>
    <row r="46" spans="1:20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0</v>
      </c>
      <c r="N46" s="7"/>
      <c r="O46" s="7"/>
      <c r="T46" s="82"/>
    </row>
    <row r="47" spans="1:20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17339.963123999998</v>
      </c>
      <c r="N47" s="7"/>
      <c r="O47" s="7"/>
      <c r="T47" s="82"/>
    </row>
    <row r="48" spans="1:20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  <c r="T48" s="82"/>
    </row>
    <row r="49" spans="1:20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  <c r="T49" s="82"/>
    </row>
    <row r="50" spans="1:20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104575.17079999999</v>
      </c>
      <c r="N50" s="7"/>
      <c r="O50" s="7"/>
      <c r="T50" s="82"/>
    </row>
    <row r="51" spans="1:20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T51" s="82"/>
    </row>
    <row r="52" spans="1:20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216353.37702490285</v>
      </c>
      <c r="N52" s="7"/>
      <c r="O52" s="31">
        <v>216353.37702490285</v>
      </c>
      <c r="T52" s="82"/>
    </row>
    <row r="53" spans="1:20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20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20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20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20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</row>
    <row r="58" spans="1:20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20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42550</v>
      </c>
      <c r="N59" s="7"/>
      <c r="O59" s="7"/>
    </row>
    <row r="60" spans="1:20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20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20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20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42550</v>
      </c>
      <c r="N63" s="7"/>
      <c r="O63" s="7"/>
    </row>
    <row r="64" spans="1:20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42550</v>
      </c>
      <c r="N66" s="7"/>
      <c r="O66" s="39">
        <v>42550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764480.477870011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5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52">
    <pageSetUpPr fitToPage="1"/>
  </sheetPr>
  <dimension ref="A1:O70"/>
  <sheetViews>
    <sheetView zoomScale="80" zoomScaleNormal="80" workbookViewId="0">
      <selection activeCell="P8" sqref="P8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35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0</v>
      </c>
      <c r="J15" s="7"/>
      <c r="K15" s="9"/>
      <c r="L15" s="7"/>
      <c r="M15" s="21">
        <v>0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337">
        <v>2562.3695163620655</v>
      </c>
      <c r="F16" s="7"/>
      <c r="G16" s="9"/>
      <c r="H16" s="7"/>
      <c r="I16" s="19">
        <v>29</v>
      </c>
      <c r="J16" s="7"/>
      <c r="K16" s="9"/>
      <c r="L16" s="7"/>
      <c r="M16" s="21">
        <v>74308.715974499893</v>
      </c>
      <c r="N16" s="7"/>
      <c r="O16" s="7"/>
    </row>
    <row r="17" spans="1:15" ht="15" x14ac:dyDescent="0.2">
      <c r="A17" s="7"/>
      <c r="B17" s="7"/>
      <c r="C17" s="16" t="s">
        <v>2</v>
      </c>
      <c r="D17" s="7"/>
      <c r="E17" s="7">
        <v>2562.3695163620655</v>
      </c>
      <c r="F17" s="7"/>
      <c r="G17" s="9"/>
      <c r="H17" s="7"/>
      <c r="I17" s="19">
        <v>25</v>
      </c>
      <c r="J17" s="7"/>
      <c r="K17" s="9"/>
      <c r="L17" s="7"/>
      <c r="M17" s="21">
        <v>64059.237909051641</v>
      </c>
      <c r="N17" s="7"/>
      <c r="O17" s="7"/>
    </row>
    <row r="18" spans="1:15" ht="15" x14ac:dyDescent="0.2">
      <c r="A18" s="7"/>
      <c r="B18" s="7"/>
      <c r="C18" s="16" t="s">
        <v>3</v>
      </c>
      <c r="D18" s="7"/>
      <c r="E18" s="7">
        <v>2562.3695163620655</v>
      </c>
      <c r="F18" s="7"/>
      <c r="G18" s="9"/>
      <c r="H18" s="7"/>
      <c r="I18" s="19">
        <v>30</v>
      </c>
      <c r="J18" s="7"/>
      <c r="K18" s="9"/>
      <c r="L18" s="7"/>
      <c r="M18" s="21">
        <v>76871.085490861966</v>
      </c>
      <c r="N18" s="7"/>
      <c r="O18" s="7"/>
    </row>
    <row r="19" spans="1:15" ht="15" x14ac:dyDescent="0.2">
      <c r="A19" s="7"/>
      <c r="B19" s="7"/>
      <c r="C19" s="16" t="s">
        <v>4</v>
      </c>
      <c r="D19" s="7"/>
      <c r="E19" s="7">
        <v>2530.182161723149</v>
      </c>
      <c r="F19" s="7"/>
      <c r="G19" s="9"/>
      <c r="H19" s="7"/>
      <c r="I19" s="19">
        <v>31</v>
      </c>
      <c r="J19" s="7"/>
      <c r="K19" s="9"/>
      <c r="L19" s="7"/>
      <c r="M19" s="21">
        <v>78435.64701341762</v>
      </c>
      <c r="N19" s="7"/>
      <c r="O19" s="7"/>
    </row>
    <row r="20" spans="1:15" ht="15" x14ac:dyDescent="0.2">
      <c r="A20" s="7"/>
      <c r="B20" s="7"/>
      <c r="C20" s="16" t="s">
        <v>5</v>
      </c>
      <c r="D20" s="7"/>
      <c r="E20" s="7">
        <v>2530.182161723149</v>
      </c>
      <c r="F20" s="7"/>
      <c r="G20" s="18"/>
      <c r="H20" s="7"/>
      <c r="I20" s="19">
        <v>31</v>
      </c>
      <c r="J20" s="7"/>
      <c r="K20" s="20"/>
      <c r="L20" s="7"/>
      <c r="M20" s="21">
        <v>78435.64701341762</v>
      </c>
      <c r="N20" s="7"/>
      <c r="O20" s="7"/>
    </row>
    <row r="21" spans="1:15" ht="15" x14ac:dyDescent="0.2">
      <c r="A21" s="7"/>
      <c r="B21" s="7"/>
      <c r="C21" s="16" t="s">
        <v>6</v>
      </c>
      <c r="D21" s="7"/>
      <c r="E21" s="7">
        <v>2530.182161723149</v>
      </c>
      <c r="F21" s="7"/>
      <c r="G21" s="18"/>
      <c r="H21" s="7"/>
      <c r="I21" s="19">
        <v>27</v>
      </c>
      <c r="J21" s="7"/>
      <c r="K21" s="20"/>
      <c r="L21" s="7"/>
      <c r="M21" s="21">
        <v>68314.918366525017</v>
      </c>
      <c r="N21" s="7"/>
      <c r="O21" s="7"/>
    </row>
    <row r="22" spans="1:15" ht="15" x14ac:dyDescent="0.2">
      <c r="A22" s="7"/>
      <c r="B22" s="7"/>
      <c r="C22" s="16" t="s">
        <v>7</v>
      </c>
      <c r="D22" s="7"/>
      <c r="E22" s="7">
        <v>2530.182161723149</v>
      </c>
      <c r="F22" s="7"/>
      <c r="G22" s="18"/>
      <c r="H22" s="7"/>
      <c r="I22" s="19">
        <v>25</v>
      </c>
      <c r="J22" s="7"/>
      <c r="K22" s="20"/>
      <c r="L22" s="7"/>
      <c r="M22" s="21">
        <v>63254.554043078722</v>
      </c>
      <c r="N22" s="7"/>
      <c r="O22" s="7"/>
    </row>
    <row r="23" spans="1:15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5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198</v>
      </c>
      <c r="J24" s="7"/>
      <c r="K24" s="20"/>
      <c r="L24" s="7"/>
      <c r="M24" s="25">
        <v>503679.8058108525</v>
      </c>
      <c r="N24" s="7"/>
      <c r="O24" s="26">
        <v>503679.8058108525</v>
      </c>
    </row>
    <row r="25" spans="1:15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5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5759.6679074805561</v>
      </c>
      <c r="N28" s="7"/>
      <c r="O28" s="7"/>
    </row>
    <row r="29" spans="1:15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7"/>
    </row>
    <row r="30" spans="1:15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12937.260296262171</v>
      </c>
      <c r="N30" s="7"/>
      <c r="O30" s="7"/>
    </row>
    <row r="31" spans="1:15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14577.402874405298</v>
      </c>
      <c r="N31" s="7"/>
      <c r="O31" s="7"/>
    </row>
    <row r="32" spans="1:15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2354</v>
      </c>
      <c r="N32" s="7"/>
      <c r="O32" s="7"/>
    </row>
    <row r="33" spans="1:15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6077.5417881458061</v>
      </c>
      <c r="N33" s="7"/>
      <c r="O33" s="7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</row>
    <row r="35" spans="1:15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</row>
    <row r="36" spans="1:15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1741.332140625</v>
      </c>
      <c r="N36" s="7"/>
      <c r="O36" s="7"/>
    </row>
    <row r="37" spans="1:15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1676</v>
      </c>
      <c r="N37" s="7"/>
      <c r="O37" s="7"/>
    </row>
    <row r="38" spans="1:15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5825.1600000000008</v>
      </c>
      <c r="N38" s="7"/>
      <c r="O38" s="7"/>
    </row>
    <row r="39" spans="1:15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2000</v>
      </c>
      <c r="N39" s="7"/>
      <c r="O39" s="7"/>
    </row>
    <row r="40" spans="1:15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2470.3870937499996</v>
      </c>
      <c r="N40" s="7"/>
      <c r="O40" s="7"/>
    </row>
    <row r="41" spans="1:15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1693.7180946972651</v>
      </c>
      <c r="N41" s="7"/>
      <c r="O41" s="7"/>
    </row>
    <row r="42" spans="1:15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515.9221450781248</v>
      </c>
      <c r="N42" s="7"/>
      <c r="O42" s="7"/>
    </row>
    <row r="43" spans="1:15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</row>
    <row r="46" spans="1:15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417.39130434782606</v>
      </c>
      <c r="N46" s="7"/>
      <c r="O46" s="7"/>
    </row>
    <row r="47" spans="1:15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17339.963123999998</v>
      </c>
      <c r="N47" s="7"/>
      <c r="O47" s="7"/>
    </row>
    <row r="48" spans="1:15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</row>
    <row r="49" spans="1:15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</row>
    <row r="50" spans="1:15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112362.24859999999</v>
      </c>
      <c r="N50" s="7"/>
      <c r="O50" s="7"/>
    </row>
    <row r="51" spans="1:15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215405.46280879204</v>
      </c>
      <c r="N52" s="7"/>
      <c r="O52" s="31">
        <v>215405.46280879204</v>
      </c>
    </row>
    <row r="53" spans="1:15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5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5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5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</row>
    <row r="58" spans="1:15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5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44409</v>
      </c>
      <c r="N59" s="7"/>
      <c r="O59" s="7"/>
    </row>
    <row r="60" spans="1:15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5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5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5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44409</v>
      </c>
      <c r="N63" s="7"/>
      <c r="O63" s="7"/>
    </row>
    <row r="64" spans="1:15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44409</v>
      </c>
      <c r="N66" s="7"/>
      <c r="O66" s="39">
        <v>44409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763494.26861964457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53">
    <pageSetUpPr fitToPage="1"/>
  </sheetPr>
  <dimension ref="A1:S70"/>
  <sheetViews>
    <sheetView zoomScale="80" zoomScaleNormal="80" workbookViewId="0">
      <selection activeCell="Q10" sqref="Q10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7" width="9.140625" style="1"/>
    <col min="18" max="18" width="10.28515625" style="1" customWidth="1"/>
    <col min="19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36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18.5</v>
      </c>
      <c r="J15" s="7"/>
      <c r="K15" s="9"/>
      <c r="L15" s="7"/>
      <c r="M15" s="21">
        <v>46203.098403658521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44</v>
      </c>
      <c r="J16" s="7"/>
      <c r="K16" s="9"/>
      <c r="L16" s="7"/>
      <c r="M16" s="21">
        <v>109858.29871993087</v>
      </c>
      <c r="N16" s="7"/>
      <c r="O16" s="7"/>
    </row>
    <row r="17" spans="1:19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50</v>
      </c>
      <c r="J17" s="7"/>
      <c r="K17" s="9"/>
      <c r="L17" s="7"/>
      <c r="M17" s="21">
        <v>124838.97581810327</v>
      </c>
      <c r="N17" s="7"/>
      <c r="O17" s="7"/>
    </row>
    <row r="18" spans="1:19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53</v>
      </c>
      <c r="J18" s="7"/>
      <c r="K18" s="9"/>
      <c r="L18" s="7"/>
      <c r="M18" s="21">
        <v>132329.31436718945</v>
      </c>
      <c r="N18" s="7"/>
      <c r="O18" s="7"/>
    </row>
    <row r="19" spans="1:19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39</v>
      </c>
      <c r="J19" s="7"/>
      <c r="K19" s="9"/>
      <c r="L19" s="7"/>
      <c r="M19" s="21">
        <v>96119.094307202802</v>
      </c>
      <c r="N19" s="7"/>
      <c r="O19" s="7"/>
    </row>
    <row r="20" spans="1:19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49</v>
      </c>
      <c r="J20" s="7"/>
      <c r="K20" s="20"/>
      <c r="L20" s="7"/>
      <c r="M20" s="21">
        <v>120765.01592443429</v>
      </c>
      <c r="N20" s="7"/>
      <c r="O20" s="7"/>
    </row>
    <row r="21" spans="1:19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49</v>
      </c>
      <c r="J21" s="7"/>
      <c r="K21" s="20"/>
      <c r="L21" s="7"/>
      <c r="M21" s="21">
        <v>120765.01592443429</v>
      </c>
      <c r="N21" s="7"/>
      <c r="O21" s="7"/>
    </row>
    <row r="22" spans="1:19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45</v>
      </c>
      <c r="J22" s="7"/>
      <c r="K22" s="20"/>
      <c r="L22" s="7"/>
      <c r="M22" s="21">
        <v>110906.64727754169</v>
      </c>
      <c r="N22" s="7"/>
      <c r="O22" s="7"/>
    </row>
    <row r="23" spans="1:19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9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347.5</v>
      </c>
      <c r="J24" s="7"/>
      <c r="K24" s="20"/>
      <c r="L24" s="7"/>
      <c r="M24" s="25">
        <v>861785.46074249514</v>
      </c>
      <c r="N24" s="7"/>
      <c r="O24" s="26">
        <v>861785.46074249514</v>
      </c>
    </row>
    <row r="25" spans="1:19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9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9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9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10099.073273162425</v>
      </c>
      <c r="N28" s="7"/>
      <c r="O28" s="7"/>
      <c r="R28" s="150"/>
      <c r="S28" s="82"/>
    </row>
    <row r="29" spans="1:19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7"/>
      <c r="R29" s="150"/>
      <c r="S29" s="82"/>
    </row>
    <row r="30" spans="1:19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22684.352949626678</v>
      </c>
      <c r="N30" s="7"/>
      <c r="O30" s="7"/>
      <c r="R30" s="150"/>
      <c r="S30" s="82"/>
    </row>
    <row r="31" spans="1:19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25560.199325003294</v>
      </c>
      <c r="N31" s="7"/>
      <c r="O31" s="7"/>
      <c r="R31" s="150"/>
      <c r="S31" s="82"/>
    </row>
    <row r="32" spans="1:19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29157.5</v>
      </c>
      <c r="N32" s="7"/>
      <c r="O32" s="7"/>
      <c r="R32" s="150"/>
      <c r="S32" s="82"/>
    </row>
    <row r="33" spans="1:19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5113.7463329139646</v>
      </c>
      <c r="N33" s="7"/>
      <c r="O33" s="7"/>
      <c r="R33" s="150"/>
      <c r="S33" s="82"/>
    </row>
    <row r="34" spans="1:19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  <c r="R34" s="150"/>
      <c r="S34" s="82"/>
    </row>
    <row r="35" spans="1:19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  <c r="R35" s="150"/>
      <c r="S35" s="82"/>
    </row>
    <row r="36" spans="1:19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1741.332140625</v>
      </c>
      <c r="N36" s="7"/>
      <c r="O36" s="7"/>
      <c r="R36" s="150"/>
      <c r="S36" s="82"/>
    </row>
    <row r="37" spans="1:19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1676</v>
      </c>
      <c r="N37" s="7"/>
      <c r="O37" s="7"/>
      <c r="R37" s="150"/>
      <c r="S37" s="82"/>
    </row>
    <row r="38" spans="1:19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10223.450000000001</v>
      </c>
      <c r="N38" s="7"/>
      <c r="O38" s="7"/>
      <c r="R38" s="150"/>
      <c r="S38" s="82"/>
    </row>
    <row r="39" spans="1:19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2000</v>
      </c>
      <c r="N39" s="7"/>
      <c r="O39" s="7"/>
      <c r="R39" s="150"/>
      <c r="S39" s="82"/>
    </row>
    <row r="40" spans="1:19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2470.3870937499996</v>
      </c>
      <c r="N40" s="7"/>
      <c r="O40" s="7"/>
      <c r="R40" s="150"/>
      <c r="S40" s="82"/>
    </row>
    <row r="41" spans="1:19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2541.1428461523428</v>
      </c>
      <c r="N41" s="7"/>
      <c r="O41" s="7"/>
      <c r="R41" s="150"/>
      <c r="S41" s="82"/>
    </row>
    <row r="42" spans="1:19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773.88321761718737</v>
      </c>
      <c r="N42" s="7"/>
      <c r="O42" s="7"/>
      <c r="R42" s="150"/>
      <c r="S42" s="82"/>
    </row>
    <row r="43" spans="1:19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  <c r="R43" s="150"/>
      <c r="S43" s="82"/>
    </row>
    <row r="44" spans="1:19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  <c r="R44" s="150"/>
      <c r="S44" s="82"/>
    </row>
    <row r="45" spans="1:19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  <c r="R45" s="150"/>
      <c r="S45" s="82"/>
    </row>
    <row r="46" spans="1:19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843.47826086956513</v>
      </c>
      <c r="N46" s="7"/>
      <c r="O46" s="7"/>
      <c r="R46" s="150"/>
      <c r="S46" s="82"/>
    </row>
    <row r="47" spans="1:19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28899.938539999999</v>
      </c>
      <c r="N47" s="7"/>
      <c r="O47" s="7"/>
      <c r="R47" s="150"/>
      <c r="S47" s="82"/>
    </row>
    <row r="48" spans="1:19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  <c r="R48" s="150"/>
      <c r="S48" s="82"/>
    </row>
    <row r="49" spans="1:19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  <c r="R49" s="150"/>
      <c r="S49" s="82"/>
    </row>
    <row r="50" spans="1:19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139166.16051153844</v>
      </c>
      <c r="N50" s="7"/>
      <c r="O50" s="7"/>
      <c r="R50" s="150"/>
      <c r="S50" s="82"/>
    </row>
    <row r="51" spans="1:19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R51" s="150"/>
      <c r="S51" s="82"/>
    </row>
    <row r="52" spans="1:19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310608.11193125893</v>
      </c>
      <c r="N52" s="7"/>
      <c r="O52" s="31">
        <v>310608.11193125893</v>
      </c>
      <c r="R52" s="150"/>
      <c r="S52" s="82"/>
    </row>
    <row r="53" spans="1:19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  <c r="R53" s="150"/>
    </row>
    <row r="54" spans="1:19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9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9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9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12090</v>
      </c>
      <c r="N57" s="7"/>
      <c r="O57" s="7"/>
    </row>
    <row r="58" spans="1:19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9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205350</v>
      </c>
      <c r="N59" s="7"/>
      <c r="O59" s="7"/>
    </row>
    <row r="60" spans="1:19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9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9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9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217440</v>
      </c>
      <c r="N63" s="7"/>
      <c r="O63" s="7"/>
    </row>
    <row r="64" spans="1:19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406719.90400000004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624159.9040000001</v>
      </c>
      <c r="N66" s="7"/>
      <c r="O66" s="39">
        <v>624159.9040000001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1796553.4766737542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54">
    <pageSetUpPr fitToPage="1"/>
  </sheetPr>
  <dimension ref="A1:O70"/>
  <sheetViews>
    <sheetView zoomScale="80" zoomScaleNormal="80" workbookViewId="0">
      <selection activeCell="P11" sqref="P11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37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14</v>
      </c>
      <c r="J15" s="7"/>
      <c r="K15" s="9"/>
      <c r="L15" s="7"/>
      <c r="M15" s="21">
        <v>34964.506900065906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16</v>
      </c>
      <c r="J16" s="7"/>
      <c r="K16" s="9"/>
      <c r="L16" s="7"/>
      <c r="M16" s="21">
        <v>39948.472261793046</v>
      </c>
      <c r="N16" s="7"/>
      <c r="O16" s="7"/>
    </row>
    <row r="17" spans="1:15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25</v>
      </c>
      <c r="J17" s="7"/>
      <c r="K17" s="9"/>
      <c r="L17" s="7"/>
      <c r="M17" s="21">
        <v>62419.487909051633</v>
      </c>
      <c r="N17" s="7"/>
      <c r="O17" s="7"/>
    </row>
    <row r="18" spans="1:15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34</v>
      </c>
      <c r="J18" s="7"/>
      <c r="K18" s="9"/>
      <c r="L18" s="7"/>
      <c r="M18" s="21">
        <v>84890.503556310228</v>
      </c>
      <c r="N18" s="7"/>
      <c r="O18" s="7"/>
    </row>
    <row r="19" spans="1:15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26</v>
      </c>
      <c r="J19" s="7"/>
      <c r="K19" s="9"/>
      <c r="L19" s="7"/>
      <c r="M19" s="21">
        <v>64079.396204801873</v>
      </c>
      <c r="N19" s="7"/>
      <c r="O19" s="7"/>
    </row>
    <row r="20" spans="1:15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30</v>
      </c>
      <c r="J20" s="7"/>
      <c r="K20" s="20"/>
      <c r="L20" s="7"/>
      <c r="M20" s="21">
        <v>73937.764851694461</v>
      </c>
      <c r="N20" s="7"/>
      <c r="O20" s="7"/>
    </row>
    <row r="21" spans="1:15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32</v>
      </c>
      <c r="J21" s="7"/>
      <c r="K21" s="20"/>
      <c r="L21" s="7"/>
      <c r="M21" s="21">
        <v>78866.949175140762</v>
      </c>
      <c r="N21" s="7"/>
      <c r="O21" s="7"/>
    </row>
    <row r="22" spans="1:15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35</v>
      </c>
      <c r="J22" s="7"/>
      <c r="K22" s="20"/>
      <c r="L22" s="7"/>
      <c r="M22" s="21">
        <v>86260.725660310214</v>
      </c>
      <c r="N22" s="7"/>
      <c r="O22" s="7"/>
    </row>
    <row r="23" spans="1:15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5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212</v>
      </c>
      <c r="J24" s="7"/>
      <c r="K24" s="20"/>
      <c r="L24" s="7"/>
      <c r="M24" s="25">
        <v>525367.80651916808</v>
      </c>
      <c r="N24" s="7"/>
      <c r="O24" s="26">
        <v>525367.80651916808</v>
      </c>
    </row>
    <row r="25" spans="1:15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5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6877.2154119170818</v>
      </c>
      <c r="N28" s="7"/>
      <c r="O28" s="7"/>
    </row>
    <row r="29" spans="1:15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7"/>
    </row>
    <row r="30" spans="1:15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15447.474980611549</v>
      </c>
      <c r="N30" s="7"/>
      <c r="O30" s="7"/>
    </row>
    <row r="31" spans="1:15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17405.854178394384</v>
      </c>
      <c r="N31" s="7"/>
      <c r="O31" s="7"/>
    </row>
    <row r="32" spans="1:15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14578.75</v>
      </c>
      <c r="N32" s="7"/>
      <c r="O32" s="7"/>
    </row>
    <row r="33" spans="1:15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9170.9608781339175</v>
      </c>
      <c r="N33" s="7"/>
      <c r="O33" s="7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</row>
    <row r="35" spans="1:15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</row>
    <row r="36" spans="1:15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1741.332140625</v>
      </c>
      <c r="N36" s="7"/>
      <c r="O36" s="7"/>
    </row>
    <row r="37" spans="1:15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1676</v>
      </c>
      <c r="N37" s="7"/>
      <c r="O37" s="7"/>
    </row>
    <row r="38" spans="1:15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6237.04</v>
      </c>
      <c r="N38" s="7"/>
      <c r="O38" s="7"/>
    </row>
    <row r="39" spans="1:15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1000</v>
      </c>
      <c r="N39" s="7"/>
      <c r="O39" s="7"/>
    </row>
    <row r="40" spans="1:15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2470.3870937499996</v>
      </c>
      <c r="N40" s="7"/>
      <c r="O40" s="7"/>
    </row>
    <row r="41" spans="1:15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824.79658719726535</v>
      </c>
      <c r="N41" s="7"/>
      <c r="O41" s="7"/>
    </row>
    <row r="42" spans="1:15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251.17262326171871</v>
      </c>
      <c r="N42" s="7"/>
      <c r="O42" s="7"/>
    </row>
    <row r="43" spans="1:15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</row>
    <row r="46" spans="1:15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426.08695652173913</v>
      </c>
      <c r="N46" s="7"/>
      <c r="O46" s="7"/>
    </row>
    <row r="47" spans="1:15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28899.938539999999</v>
      </c>
      <c r="N47" s="7"/>
      <c r="O47" s="7"/>
    </row>
    <row r="48" spans="1:15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</row>
    <row r="49" spans="1:15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</row>
    <row r="50" spans="1:15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156288.37713846151</v>
      </c>
      <c r="N50" s="7"/>
      <c r="O50" s="7"/>
    </row>
    <row r="51" spans="1:15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290952.8539688742</v>
      </c>
      <c r="N52" s="7"/>
      <c r="O52" s="31">
        <v>290952.8539688742</v>
      </c>
    </row>
    <row r="53" spans="1:15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5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5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5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16985</v>
      </c>
      <c r="N57" s="7"/>
      <c r="O57" s="7"/>
    </row>
    <row r="58" spans="1:15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5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82285</v>
      </c>
      <c r="N59" s="7"/>
      <c r="O59" s="7"/>
    </row>
    <row r="60" spans="1:15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5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5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5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99270</v>
      </c>
      <c r="N63" s="7"/>
      <c r="O63" s="7"/>
    </row>
    <row r="64" spans="1:15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332610.95999999996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431880.95999999996</v>
      </c>
      <c r="N66" s="7"/>
      <c r="O66" s="39">
        <v>431880.95999999996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1248201.6204880422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55">
    <pageSetUpPr fitToPage="1"/>
  </sheetPr>
  <dimension ref="A1:O70"/>
  <sheetViews>
    <sheetView zoomScale="80" zoomScaleNormal="80" workbookViewId="0">
      <selection activeCell="Q29" sqref="Q29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38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0</v>
      </c>
      <c r="J15" s="7"/>
      <c r="K15" s="9"/>
      <c r="L15" s="7"/>
      <c r="M15" s="21">
        <v>0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23</v>
      </c>
      <c r="J16" s="7"/>
      <c r="K16" s="9"/>
      <c r="L16" s="7"/>
      <c r="M16" s="21">
        <v>57425.928876327504</v>
      </c>
      <c r="N16" s="7"/>
      <c r="O16" s="7"/>
    </row>
    <row r="17" spans="1:15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23</v>
      </c>
      <c r="J17" s="7"/>
      <c r="K17" s="9"/>
      <c r="L17" s="7"/>
      <c r="M17" s="21">
        <v>57425.928876327504</v>
      </c>
      <c r="N17" s="7"/>
      <c r="O17" s="7"/>
    </row>
    <row r="18" spans="1:15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24</v>
      </c>
      <c r="J18" s="7"/>
      <c r="K18" s="9"/>
      <c r="L18" s="7"/>
      <c r="M18" s="21">
        <v>59922.708392689572</v>
      </c>
      <c r="N18" s="7"/>
      <c r="O18" s="7"/>
    </row>
    <row r="19" spans="1:15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27</v>
      </c>
      <c r="J19" s="7"/>
      <c r="K19" s="9"/>
      <c r="L19" s="7"/>
      <c r="M19" s="21">
        <v>66543.988366525024</v>
      </c>
      <c r="N19" s="7"/>
      <c r="O19" s="7"/>
    </row>
    <row r="20" spans="1:15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31</v>
      </c>
      <c r="J20" s="7"/>
      <c r="K20" s="20"/>
      <c r="L20" s="7"/>
      <c r="M20" s="21">
        <v>76402.357013417612</v>
      </c>
      <c r="N20" s="7"/>
      <c r="O20" s="7"/>
    </row>
    <row r="21" spans="1:15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28</v>
      </c>
      <c r="J21" s="7"/>
      <c r="K21" s="20"/>
      <c r="L21" s="7"/>
      <c r="M21" s="21">
        <v>69008.58052824816</v>
      </c>
      <c r="N21" s="7"/>
      <c r="O21" s="7"/>
    </row>
    <row r="22" spans="1:15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29</v>
      </c>
      <c r="J22" s="7"/>
      <c r="K22" s="20"/>
      <c r="L22" s="7"/>
      <c r="M22" s="21">
        <v>71473.17268997131</v>
      </c>
      <c r="N22" s="7"/>
      <c r="O22" s="7"/>
    </row>
    <row r="23" spans="1:15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5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185</v>
      </c>
      <c r="J24" s="7"/>
      <c r="K24" s="20"/>
      <c r="L24" s="7"/>
      <c r="M24" s="25">
        <v>458202.6647435067</v>
      </c>
      <c r="N24" s="7"/>
      <c r="O24" s="26">
        <v>458202.6647435067</v>
      </c>
    </row>
    <row r="25" spans="1:15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5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7474.6420885478874</v>
      </c>
      <c r="N28" s="7"/>
      <c r="O28" s="7"/>
    </row>
    <row r="29" spans="1:15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7"/>
    </row>
    <row r="30" spans="1:15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12410.791864764833</v>
      </c>
      <c r="N30" s="7"/>
      <c r="O30" s="7"/>
    </row>
    <row r="31" spans="1:15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13984.190536487797</v>
      </c>
      <c r="N31" s="7"/>
      <c r="O31" s="7"/>
    </row>
    <row r="32" spans="1:15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13642.5</v>
      </c>
      <c r="N32" s="7"/>
      <c r="O32" s="7"/>
    </row>
    <row r="33" spans="1:15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3500.7965504469303</v>
      </c>
      <c r="N33" s="7"/>
      <c r="O33" s="7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</row>
    <row r="35" spans="1:15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</row>
    <row r="36" spans="1:15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1741.332140625</v>
      </c>
      <c r="N36" s="7"/>
      <c r="O36" s="7"/>
    </row>
    <row r="37" spans="1:15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1676</v>
      </c>
      <c r="N37" s="7"/>
      <c r="O37" s="7"/>
    </row>
    <row r="38" spans="1:15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5442.7000000000007</v>
      </c>
      <c r="N38" s="7"/>
      <c r="O38" s="7"/>
    </row>
    <row r="39" spans="1:15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1000</v>
      </c>
      <c r="N39" s="7"/>
      <c r="O39" s="7"/>
    </row>
    <row r="40" spans="1:15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2470.3870937499996</v>
      </c>
      <c r="N40" s="7"/>
      <c r="O40" s="7"/>
    </row>
    <row r="41" spans="1:15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1693.7180946972651</v>
      </c>
      <c r="N41" s="7"/>
      <c r="O41" s="7"/>
    </row>
    <row r="42" spans="1:15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515.9221450781248</v>
      </c>
      <c r="N42" s="7"/>
      <c r="O42" s="7"/>
    </row>
    <row r="43" spans="1:15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</row>
    <row r="46" spans="1:15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0</v>
      </c>
      <c r="N46" s="7"/>
      <c r="O46" s="7"/>
    </row>
    <row r="47" spans="1:15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17339.963123999998</v>
      </c>
      <c r="N47" s="7"/>
      <c r="O47" s="7"/>
    </row>
    <row r="48" spans="1:15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</row>
    <row r="49" spans="1:15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</row>
    <row r="50" spans="1:15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129234.25049999999</v>
      </c>
      <c r="N50" s="7"/>
      <c r="O50" s="7"/>
    </row>
    <row r="51" spans="1:15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239784.66157839785</v>
      </c>
      <c r="N52" s="7"/>
      <c r="O52" s="31">
        <v>239784.66157839785</v>
      </c>
    </row>
    <row r="53" spans="1:15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5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5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5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</row>
    <row r="58" spans="1:15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5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66888</v>
      </c>
      <c r="N59" s="7"/>
      <c r="O59" s="7"/>
    </row>
    <row r="60" spans="1:15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5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5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5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66888</v>
      </c>
      <c r="N63" s="7"/>
      <c r="O63" s="7"/>
    </row>
    <row r="64" spans="1:15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66888</v>
      </c>
      <c r="N66" s="7"/>
      <c r="O66" s="39">
        <v>66888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764875.32632190455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56">
    <pageSetUpPr fitToPage="1"/>
  </sheetPr>
  <dimension ref="A1:O70"/>
  <sheetViews>
    <sheetView zoomScale="80" zoomScaleNormal="80" workbookViewId="0">
      <selection activeCell="G51" sqref="G51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39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0</v>
      </c>
      <c r="J15" s="7"/>
      <c r="K15" s="9"/>
      <c r="L15" s="7"/>
      <c r="M15" s="21">
        <v>0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29</v>
      </c>
      <c r="J16" s="7"/>
      <c r="K16" s="9"/>
      <c r="L16" s="7"/>
      <c r="M16" s="21">
        <v>72406.605974499893</v>
      </c>
      <c r="N16" s="7"/>
      <c r="O16" s="7"/>
    </row>
    <row r="17" spans="1:15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25</v>
      </c>
      <c r="J17" s="7"/>
      <c r="K17" s="9"/>
      <c r="L17" s="7"/>
      <c r="M17" s="21">
        <v>62419.487909051633</v>
      </c>
      <c r="N17" s="7"/>
      <c r="O17" s="7"/>
    </row>
    <row r="18" spans="1:15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29</v>
      </c>
      <c r="J18" s="7"/>
      <c r="K18" s="9"/>
      <c r="L18" s="7"/>
      <c r="M18" s="21">
        <v>72406.605974499893</v>
      </c>
      <c r="N18" s="7"/>
      <c r="O18" s="7"/>
    </row>
    <row r="19" spans="1:15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29</v>
      </c>
      <c r="J19" s="7"/>
      <c r="K19" s="9"/>
      <c r="L19" s="7"/>
      <c r="M19" s="21">
        <v>71473.17268997131</v>
      </c>
      <c r="N19" s="7"/>
      <c r="O19" s="7"/>
    </row>
    <row r="20" spans="1:15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30</v>
      </c>
      <c r="J20" s="7"/>
      <c r="K20" s="20"/>
      <c r="L20" s="7"/>
      <c r="M20" s="21">
        <v>73937.764851694461</v>
      </c>
      <c r="N20" s="7"/>
      <c r="O20" s="7"/>
    </row>
    <row r="21" spans="1:15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29</v>
      </c>
      <c r="J21" s="7"/>
      <c r="K21" s="20"/>
      <c r="L21" s="7"/>
      <c r="M21" s="21">
        <v>71473.17268997131</v>
      </c>
      <c r="N21" s="7"/>
      <c r="O21" s="7"/>
    </row>
    <row r="22" spans="1:15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26</v>
      </c>
      <c r="J22" s="7"/>
      <c r="K22" s="20"/>
      <c r="L22" s="7"/>
      <c r="M22" s="21">
        <v>64079.396204801873</v>
      </c>
      <c r="N22" s="7"/>
      <c r="O22" s="7"/>
    </row>
    <row r="23" spans="1:15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5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197</v>
      </c>
      <c r="J24" s="7"/>
      <c r="K24" s="20"/>
      <c r="L24" s="7"/>
      <c r="M24" s="25">
        <v>488196.20629449037</v>
      </c>
      <c r="N24" s="7"/>
      <c r="O24" s="26">
        <v>488196.20629449037</v>
      </c>
    </row>
    <row r="25" spans="1:15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5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6098.3854614221991</v>
      </c>
      <c r="N28" s="7"/>
      <c r="O28" s="7"/>
    </row>
    <row r="29" spans="1:15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7"/>
    </row>
    <row r="30" spans="1:15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13698.081446482462</v>
      </c>
      <c r="N30" s="7"/>
      <c r="O30" s="7"/>
    </row>
    <row r="31" spans="1:15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15434.67838468733</v>
      </c>
      <c r="N31" s="7"/>
      <c r="O31" s="7"/>
    </row>
    <row r="32" spans="1:15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24877.5</v>
      </c>
      <c r="N32" s="7"/>
      <c r="O32" s="7"/>
    </row>
    <row r="33" spans="1:15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5683.4123751815823</v>
      </c>
      <c r="N33" s="7"/>
      <c r="O33" s="7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</row>
    <row r="35" spans="1:15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</row>
    <row r="36" spans="1:15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1741.332140625</v>
      </c>
      <c r="N36" s="7"/>
      <c r="O36" s="7"/>
    </row>
    <row r="37" spans="1:15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1676</v>
      </c>
      <c r="N37" s="7"/>
      <c r="O37" s="7"/>
    </row>
    <row r="38" spans="1:15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5795.7400000000007</v>
      </c>
      <c r="N38" s="7"/>
      <c r="O38" s="7"/>
    </row>
    <row r="39" spans="1:15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1000</v>
      </c>
      <c r="N39" s="7"/>
      <c r="O39" s="7"/>
    </row>
    <row r="40" spans="1:15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2470.3870937499996</v>
      </c>
      <c r="N40" s="7"/>
      <c r="O40" s="7"/>
    </row>
    <row r="41" spans="1:15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1693.7180946972651</v>
      </c>
      <c r="N41" s="7"/>
      <c r="O41" s="7"/>
    </row>
    <row r="42" spans="1:15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515.9221450781248</v>
      </c>
      <c r="N42" s="7"/>
      <c r="O42" s="7"/>
    </row>
    <row r="43" spans="1:15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2765.99</v>
      </c>
      <c r="N45" s="7"/>
      <c r="O45" s="7"/>
    </row>
    <row r="46" spans="1:15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0</v>
      </c>
      <c r="N46" s="7"/>
      <c r="O46" s="7"/>
    </row>
    <row r="47" spans="1:15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17339.963123999998</v>
      </c>
      <c r="N47" s="7"/>
      <c r="O47" s="7"/>
    </row>
    <row r="48" spans="1:15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</row>
    <row r="49" spans="1:15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</row>
    <row r="50" spans="1:15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113660.0949</v>
      </c>
      <c r="N50" s="7"/>
      <c r="O50" s="7"/>
    </row>
    <row r="51" spans="1:15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242108.67260592396</v>
      </c>
      <c r="N52" s="7"/>
      <c r="O52" s="31">
        <v>242108.67260592396</v>
      </c>
    </row>
    <row r="53" spans="1:15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5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5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5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</row>
    <row r="58" spans="1:15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5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92577</v>
      </c>
      <c r="N59" s="7"/>
      <c r="O59" s="7"/>
    </row>
    <row r="60" spans="1:15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5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5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5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92577</v>
      </c>
      <c r="N63" s="7"/>
      <c r="O63" s="7"/>
    </row>
    <row r="64" spans="1:15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92577</v>
      </c>
      <c r="N66" s="7"/>
      <c r="O66" s="39">
        <v>92577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822881.87890041433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57">
    <pageSetUpPr fitToPage="1"/>
  </sheetPr>
  <dimension ref="A1:O70"/>
  <sheetViews>
    <sheetView zoomScale="80" zoomScaleNormal="80" workbookViewId="0">
      <selection activeCell="R15" sqref="R15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40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0</v>
      </c>
      <c r="J15" s="7"/>
      <c r="K15" s="9"/>
      <c r="L15" s="7"/>
      <c r="M15" s="21">
        <v>0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30</v>
      </c>
      <c r="J16" s="7"/>
      <c r="K16" s="9"/>
      <c r="L16" s="7"/>
      <c r="M16" s="21">
        <v>74903.385490861954</v>
      </c>
      <c r="N16" s="7"/>
      <c r="O16" s="7"/>
    </row>
    <row r="17" spans="1:15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30</v>
      </c>
      <c r="J17" s="7"/>
      <c r="K17" s="9"/>
      <c r="L17" s="7"/>
      <c r="M17" s="21">
        <v>74903.385490861954</v>
      </c>
      <c r="N17" s="7"/>
      <c r="O17" s="7"/>
    </row>
    <row r="18" spans="1:15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27</v>
      </c>
      <c r="J18" s="7"/>
      <c r="K18" s="9"/>
      <c r="L18" s="7"/>
      <c r="M18" s="21">
        <v>67413.04694177577</v>
      </c>
      <c r="N18" s="7"/>
      <c r="O18" s="7"/>
    </row>
    <row r="19" spans="1:15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30</v>
      </c>
      <c r="J19" s="7"/>
      <c r="K19" s="9"/>
      <c r="L19" s="7"/>
      <c r="M19" s="21">
        <v>73937.764851694461</v>
      </c>
      <c r="N19" s="7"/>
      <c r="O19" s="7"/>
    </row>
    <row r="20" spans="1:15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25</v>
      </c>
      <c r="J20" s="7"/>
      <c r="K20" s="20"/>
      <c r="L20" s="7"/>
      <c r="M20" s="21">
        <v>61614.804043078722</v>
      </c>
      <c r="N20" s="7"/>
      <c r="O20" s="7"/>
    </row>
    <row r="21" spans="1:15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28</v>
      </c>
      <c r="J21" s="7"/>
      <c r="K21" s="20"/>
      <c r="L21" s="7"/>
      <c r="M21" s="21">
        <v>69008.58052824816</v>
      </c>
      <c r="N21" s="7"/>
      <c r="O21" s="7"/>
    </row>
    <row r="22" spans="1:15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28</v>
      </c>
      <c r="J22" s="7"/>
      <c r="K22" s="20"/>
      <c r="L22" s="7"/>
      <c r="M22" s="21">
        <v>69008.58052824816</v>
      </c>
      <c r="N22" s="7"/>
      <c r="O22" s="7"/>
    </row>
    <row r="23" spans="1:15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5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198</v>
      </c>
      <c r="J24" s="7"/>
      <c r="K24" s="20"/>
      <c r="L24" s="7"/>
      <c r="M24" s="25">
        <v>490789.5478747692</v>
      </c>
      <c r="N24" s="7"/>
      <c r="O24" s="26">
        <v>490789.5478747692</v>
      </c>
    </row>
    <row r="25" spans="1:15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5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3633.3151935822616</v>
      </c>
      <c r="N28" s="7"/>
      <c r="O28" s="7"/>
    </row>
    <row r="29" spans="1:15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7"/>
    </row>
    <row r="30" spans="1:15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8161.0858738380457</v>
      </c>
      <c r="N30" s="7"/>
      <c r="O30" s="7"/>
    </row>
    <row r="31" spans="1:15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9195.7210376239564</v>
      </c>
      <c r="N31" s="7"/>
      <c r="O31" s="7"/>
    </row>
    <row r="32" spans="1:15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14177.5</v>
      </c>
      <c r="N32" s="7"/>
      <c r="O32" s="7"/>
    </row>
    <row r="33" spans="1:15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6150.4060493660827</v>
      </c>
      <c r="N33" s="7"/>
      <c r="O33" s="7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</row>
    <row r="35" spans="1:15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</row>
    <row r="36" spans="1:15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1741.332140625</v>
      </c>
      <c r="N36" s="7"/>
      <c r="O36" s="7"/>
    </row>
    <row r="37" spans="1:15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1676</v>
      </c>
      <c r="N37" s="7"/>
      <c r="O37" s="7"/>
    </row>
    <row r="38" spans="1:15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5825.1600000000008</v>
      </c>
      <c r="N38" s="7"/>
      <c r="O38" s="7"/>
    </row>
    <row r="39" spans="1:15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1000</v>
      </c>
      <c r="N39" s="7"/>
      <c r="O39" s="7"/>
    </row>
    <row r="40" spans="1:15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2470.3870937499996</v>
      </c>
      <c r="N40" s="7"/>
      <c r="O40" s="7"/>
    </row>
    <row r="41" spans="1:15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847.42475145507785</v>
      </c>
      <c r="N41" s="7"/>
      <c r="O41" s="7"/>
    </row>
    <row r="42" spans="1:15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257.9610725390624</v>
      </c>
      <c r="N42" s="7"/>
      <c r="O42" s="7"/>
    </row>
    <row r="43" spans="1:15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</row>
    <row r="46" spans="1:15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0</v>
      </c>
      <c r="N46" s="7"/>
      <c r="O46" s="7"/>
    </row>
    <row r="47" spans="1:15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17339.963123999998</v>
      </c>
      <c r="N47" s="7"/>
      <c r="O47" s="7"/>
    </row>
    <row r="48" spans="1:15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</row>
    <row r="49" spans="1:15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</row>
    <row r="50" spans="1:15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112362.24859999999</v>
      </c>
      <c r="N50" s="7"/>
      <c r="O50" s="7"/>
    </row>
    <row r="51" spans="1:15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212495.97237677948</v>
      </c>
      <c r="N52" s="7"/>
      <c r="O52" s="31">
        <v>212495.97237677948</v>
      </c>
    </row>
    <row r="53" spans="1:15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5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5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5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</row>
    <row r="58" spans="1:15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5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44660</v>
      </c>
      <c r="N59" s="7"/>
      <c r="O59" s="7"/>
    </row>
    <row r="60" spans="1:15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5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5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5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44660</v>
      </c>
      <c r="N63" s="7"/>
      <c r="O63" s="7"/>
    </row>
    <row r="64" spans="1:15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44660</v>
      </c>
      <c r="N66" s="7"/>
      <c r="O66" s="39">
        <v>44660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747945.52025154862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58">
    <pageSetUpPr fitToPage="1"/>
  </sheetPr>
  <dimension ref="A1:O70"/>
  <sheetViews>
    <sheetView zoomScale="80" zoomScaleNormal="80" workbookViewId="0">
      <selection activeCell="S11" sqref="S11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41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0</v>
      </c>
      <c r="J15" s="7"/>
      <c r="K15" s="9"/>
      <c r="L15" s="7"/>
      <c r="M15" s="21">
        <v>0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18</v>
      </c>
      <c r="J16" s="7"/>
      <c r="K16" s="9"/>
      <c r="L16" s="7"/>
      <c r="M16" s="21">
        <v>44942.031294517175</v>
      </c>
      <c r="N16" s="7"/>
      <c r="O16" s="7"/>
    </row>
    <row r="17" spans="1:15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16</v>
      </c>
      <c r="J17" s="7"/>
      <c r="K17" s="9"/>
      <c r="L17" s="7"/>
      <c r="M17" s="21">
        <v>39948.472261793046</v>
      </c>
      <c r="N17" s="7"/>
      <c r="O17" s="7"/>
    </row>
    <row r="18" spans="1:15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15</v>
      </c>
      <c r="J18" s="7"/>
      <c r="K18" s="9"/>
      <c r="L18" s="7"/>
      <c r="M18" s="21">
        <v>37451.692745430977</v>
      </c>
      <c r="N18" s="7"/>
      <c r="O18" s="7"/>
    </row>
    <row r="19" spans="1:15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12</v>
      </c>
      <c r="J19" s="7"/>
      <c r="K19" s="9"/>
      <c r="L19" s="7"/>
      <c r="M19" s="21">
        <v>29575.105940677786</v>
      </c>
      <c r="N19" s="7"/>
      <c r="O19" s="7"/>
    </row>
    <row r="20" spans="1:15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20</v>
      </c>
      <c r="J20" s="7"/>
      <c r="K20" s="20"/>
      <c r="L20" s="7"/>
      <c r="M20" s="21">
        <v>49291.843234462976</v>
      </c>
      <c r="N20" s="7"/>
      <c r="O20" s="7"/>
    </row>
    <row r="21" spans="1:15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29</v>
      </c>
      <c r="J21" s="7"/>
      <c r="K21" s="20"/>
      <c r="L21" s="7"/>
      <c r="M21" s="21">
        <v>71473.17268997131</v>
      </c>
      <c r="N21" s="7"/>
      <c r="O21" s="7"/>
    </row>
    <row r="22" spans="1:15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23</v>
      </c>
      <c r="J22" s="7"/>
      <c r="K22" s="20"/>
      <c r="L22" s="7"/>
      <c r="M22" s="21">
        <v>56685.619719632421</v>
      </c>
      <c r="N22" s="7"/>
      <c r="O22" s="7"/>
    </row>
    <row r="23" spans="1:15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5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133</v>
      </c>
      <c r="J24" s="7"/>
      <c r="K24" s="20"/>
      <c r="L24" s="7"/>
      <c r="M24" s="25">
        <v>329367.93788648571</v>
      </c>
      <c r="N24" s="7"/>
      <c r="O24" s="26">
        <v>329367.93788648571</v>
      </c>
    </row>
    <row r="25" spans="1:15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5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6083.6905566958803</v>
      </c>
      <c r="N28" s="7"/>
      <c r="O28" s="7"/>
    </row>
    <row r="29" spans="1:15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13329.23372</v>
      </c>
      <c r="N29" s="7"/>
      <c r="O29" s="7"/>
    </row>
    <row r="30" spans="1:15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13665.074021310216</v>
      </c>
      <c r="N30" s="7"/>
      <c r="O30" s="7"/>
    </row>
    <row r="31" spans="1:15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15397.486388579649</v>
      </c>
      <c r="N31" s="7"/>
      <c r="O31" s="7"/>
    </row>
    <row r="32" spans="1:15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2835.5</v>
      </c>
      <c r="N32" s="7"/>
      <c r="O32" s="7"/>
    </row>
    <row r="33" spans="1:15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3941.2941296422396</v>
      </c>
      <c r="N33" s="7"/>
      <c r="O33" s="7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</row>
    <row r="35" spans="1:15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</row>
    <row r="36" spans="1:15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1583.0292187499999</v>
      </c>
      <c r="N36" s="7"/>
      <c r="O36" s="7"/>
    </row>
    <row r="37" spans="1:15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928</v>
      </c>
      <c r="N37" s="7"/>
      <c r="O37" s="7"/>
    </row>
    <row r="38" spans="1:15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3912.86</v>
      </c>
      <c r="N38" s="7"/>
      <c r="O38" s="7"/>
    </row>
    <row r="39" spans="1:15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1000</v>
      </c>
      <c r="N39" s="7"/>
      <c r="O39" s="7"/>
    </row>
    <row r="40" spans="1:15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1996.55521875</v>
      </c>
      <c r="N40" s="7"/>
      <c r="O40" s="7"/>
    </row>
    <row r="41" spans="1:15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1270.5714230761714</v>
      </c>
      <c r="N41" s="7"/>
      <c r="O41" s="7"/>
    </row>
    <row r="42" spans="1:15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386.94160880859368</v>
      </c>
      <c r="N42" s="7"/>
      <c r="O42" s="7"/>
    </row>
    <row r="43" spans="1:15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</row>
    <row r="46" spans="1:15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0</v>
      </c>
      <c r="N46" s="7"/>
      <c r="O46" s="7"/>
    </row>
    <row r="47" spans="1:15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11559.975415999999</v>
      </c>
      <c r="N47" s="7"/>
      <c r="O47" s="7"/>
    </row>
    <row r="48" spans="1:15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</row>
    <row r="49" spans="1:15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</row>
    <row r="50" spans="1:15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102568.20309999998</v>
      </c>
      <c r="N50" s="7"/>
      <c r="O50" s="7"/>
    </row>
    <row r="51" spans="1:15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181457.41480161273</v>
      </c>
      <c r="N52" s="7"/>
      <c r="O52" s="31">
        <v>181457.41480161273</v>
      </c>
    </row>
    <row r="53" spans="1:15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5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5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5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</row>
    <row r="58" spans="1:15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5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45458</v>
      </c>
      <c r="N59" s="7"/>
      <c r="O59" s="7"/>
    </row>
    <row r="60" spans="1:15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5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5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5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45458</v>
      </c>
      <c r="N63" s="7"/>
      <c r="O63" s="7"/>
    </row>
    <row r="64" spans="1:15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45458</v>
      </c>
      <c r="N66" s="7"/>
      <c r="O66" s="39">
        <v>45458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556283.35268809844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9">
    <pageSetUpPr fitToPage="1"/>
  </sheetPr>
  <dimension ref="A1:R70"/>
  <sheetViews>
    <sheetView zoomScale="80" zoomScaleNormal="80" workbookViewId="0">
      <selection activeCell="Q7" sqref="Q7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42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0</v>
      </c>
      <c r="J15" s="7"/>
      <c r="K15" s="9"/>
      <c r="L15" s="7"/>
      <c r="M15" s="21">
        <v>0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47</v>
      </c>
      <c r="J16" s="7"/>
      <c r="K16" s="9"/>
      <c r="L16" s="7"/>
      <c r="M16" s="21">
        <v>117348.63726901707</v>
      </c>
      <c r="N16" s="7"/>
      <c r="O16" s="7"/>
    </row>
    <row r="17" spans="1:18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60</v>
      </c>
      <c r="J17" s="7"/>
      <c r="K17" s="9"/>
      <c r="L17" s="7"/>
      <c r="M17" s="21">
        <v>149806.77098172391</v>
      </c>
      <c r="N17" s="7"/>
      <c r="O17" s="7"/>
    </row>
    <row r="18" spans="1:18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55</v>
      </c>
      <c r="J18" s="7"/>
      <c r="K18" s="9"/>
      <c r="L18" s="7"/>
      <c r="M18" s="21">
        <v>137322.8733999136</v>
      </c>
      <c r="N18" s="7"/>
      <c r="O18" s="7"/>
    </row>
    <row r="19" spans="1:18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51</v>
      </c>
      <c r="J19" s="7"/>
      <c r="K19" s="9"/>
      <c r="L19" s="7"/>
      <c r="M19" s="21">
        <v>125694.2002478806</v>
      </c>
      <c r="N19" s="7"/>
      <c r="O19" s="7"/>
    </row>
    <row r="20" spans="1:18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52</v>
      </c>
      <c r="J20" s="7"/>
      <c r="K20" s="20"/>
      <c r="L20" s="7"/>
      <c r="M20" s="21">
        <v>128158.79240960375</v>
      </c>
      <c r="N20" s="7"/>
      <c r="O20" s="7"/>
    </row>
    <row r="21" spans="1:18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58</v>
      </c>
      <c r="J21" s="7"/>
      <c r="K21" s="20"/>
      <c r="L21" s="7"/>
      <c r="M21" s="21">
        <v>142946.34537994262</v>
      </c>
      <c r="N21" s="7"/>
      <c r="O21" s="7"/>
    </row>
    <row r="22" spans="1:18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60</v>
      </c>
      <c r="J22" s="7"/>
      <c r="K22" s="20"/>
      <c r="L22" s="7"/>
      <c r="M22" s="21">
        <v>147875.52970338892</v>
      </c>
      <c r="N22" s="7"/>
      <c r="O22" s="7"/>
    </row>
    <row r="23" spans="1:18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8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383</v>
      </c>
      <c r="J24" s="7"/>
      <c r="K24" s="20"/>
      <c r="L24" s="7"/>
      <c r="M24" s="25">
        <v>949153.14939147048</v>
      </c>
      <c r="N24" s="7"/>
      <c r="O24" s="26">
        <v>949153.14939147048</v>
      </c>
    </row>
    <row r="25" spans="1:18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8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8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8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6039.6058425169249</v>
      </c>
      <c r="N28" s="7"/>
      <c r="O28" s="7"/>
      <c r="Q28" s="150"/>
      <c r="R28" s="82"/>
    </row>
    <row r="29" spans="1:18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7"/>
      <c r="Q29" s="150"/>
      <c r="R29" s="82"/>
    </row>
    <row r="30" spans="1:18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13566.051745793475</v>
      </c>
      <c r="N30" s="7"/>
      <c r="O30" s="7"/>
      <c r="Q30" s="150"/>
      <c r="R30" s="82"/>
    </row>
    <row r="31" spans="1:18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15285.910400256607</v>
      </c>
      <c r="N31" s="7"/>
      <c r="O31" s="7"/>
      <c r="Q31" s="150"/>
      <c r="R31" s="82"/>
    </row>
    <row r="32" spans="1:18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22737.5</v>
      </c>
      <c r="N32" s="7"/>
      <c r="O32" s="7"/>
      <c r="Q32" s="150"/>
      <c r="R32" s="82"/>
    </row>
    <row r="33" spans="1:18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5782.7727313910509</v>
      </c>
      <c r="N33" s="7"/>
      <c r="O33" s="7"/>
      <c r="Q33" s="150"/>
      <c r="R33" s="82"/>
    </row>
    <row r="34" spans="1:18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  <c r="Q34" s="150"/>
      <c r="R34" s="82"/>
    </row>
    <row r="35" spans="1:18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  <c r="Q35" s="150"/>
      <c r="R35" s="82"/>
    </row>
    <row r="36" spans="1:18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1900.711953125</v>
      </c>
      <c r="N36" s="7"/>
      <c r="O36" s="7"/>
      <c r="Q36" s="150"/>
      <c r="R36" s="82"/>
    </row>
    <row r="37" spans="1:18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2406</v>
      </c>
      <c r="N37" s="7"/>
      <c r="O37" s="7"/>
      <c r="Q37" s="150"/>
      <c r="R37" s="82"/>
    </row>
    <row r="38" spans="1:18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11267.86</v>
      </c>
      <c r="N38" s="7"/>
      <c r="O38" s="7"/>
      <c r="Q38" s="150"/>
      <c r="R38" s="82"/>
    </row>
    <row r="39" spans="1:18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1000</v>
      </c>
      <c r="N39" s="7"/>
      <c r="O39" s="7"/>
      <c r="Q39" s="150"/>
      <c r="R39" s="82"/>
    </row>
    <row r="40" spans="1:18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2906.5277968749997</v>
      </c>
      <c r="N40" s="7"/>
      <c r="O40" s="7"/>
      <c r="Q40" s="150"/>
      <c r="R40" s="82"/>
    </row>
    <row r="41" spans="1:18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3811.7142692285142</v>
      </c>
      <c r="N41" s="7"/>
      <c r="O41" s="7"/>
      <c r="Q41" s="150"/>
      <c r="R41" s="82"/>
    </row>
    <row r="42" spans="1:18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1160.8248264257809</v>
      </c>
      <c r="N42" s="7"/>
      <c r="O42" s="7"/>
      <c r="Q42" s="150"/>
      <c r="R42" s="82"/>
    </row>
    <row r="43" spans="1:18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  <c r="Q43" s="150"/>
      <c r="R43" s="82"/>
    </row>
    <row r="44" spans="1:18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  <c r="Q44" s="150"/>
      <c r="R44" s="82"/>
    </row>
    <row r="45" spans="1:18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  <c r="Q45" s="150"/>
      <c r="R45" s="82"/>
    </row>
    <row r="46" spans="1:18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0</v>
      </c>
      <c r="N46" s="7"/>
      <c r="O46" s="7"/>
      <c r="Q46" s="150"/>
      <c r="R46" s="82"/>
    </row>
    <row r="47" spans="1:18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28899.938539999999</v>
      </c>
      <c r="N47" s="7"/>
      <c r="O47" s="7"/>
      <c r="Q47" s="150"/>
      <c r="R47" s="82"/>
    </row>
    <row r="48" spans="1:18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  <c r="Q48" s="150"/>
      <c r="R48" s="82"/>
    </row>
    <row r="49" spans="1:18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  <c r="Q49" s="150"/>
      <c r="R49" s="82"/>
    </row>
    <row r="50" spans="1:18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156337.63709999999</v>
      </c>
      <c r="N50" s="7"/>
      <c r="O50" s="7"/>
      <c r="Q50" s="150"/>
      <c r="R50" s="82"/>
    </row>
    <row r="51" spans="1:18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8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300760.52264561236</v>
      </c>
      <c r="N52" s="7"/>
      <c r="O52" s="31">
        <v>300760.52264561236</v>
      </c>
    </row>
    <row r="53" spans="1:18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8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8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8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8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</row>
    <row r="58" spans="1:18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8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48435</v>
      </c>
      <c r="N59" s="7"/>
      <c r="O59" s="7"/>
    </row>
    <row r="60" spans="1:18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8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8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8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48435</v>
      </c>
      <c r="N63" s="7"/>
      <c r="O63" s="7"/>
    </row>
    <row r="64" spans="1:18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48435</v>
      </c>
      <c r="N66" s="7"/>
      <c r="O66" s="39">
        <v>48435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1298348.6720370827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60">
    <pageSetUpPr fitToPage="1"/>
  </sheetPr>
  <dimension ref="A1:P70"/>
  <sheetViews>
    <sheetView zoomScale="80" zoomScaleNormal="80" workbookViewId="0">
      <selection activeCell="P12" sqref="P12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" width="16.5703125" style="1" customWidth="1"/>
    <col min="17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43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20.5</v>
      </c>
      <c r="J15" s="7"/>
      <c r="K15" s="9"/>
      <c r="L15" s="7"/>
      <c r="M15" s="21">
        <v>51198.027960810796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31</v>
      </c>
      <c r="J16" s="7"/>
      <c r="K16" s="9"/>
      <c r="L16" s="7"/>
      <c r="M16" s="21">
        <v>77400.16500722403</v>
      </c>
      <c r="N16" s="7"/>
      <c r="O16" s="7"/>
    </row>
    <row r="17" spans="1:16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31</v>
      </c>
      <c r="J17" s="7"/>
      <c r="K17" s="9"/>
      <c r="L17" s="7"/>
      <c r="M17" s="21">
        <v>77400.16500722403</v>
      </c>
      <c r="N17" s="7"/>
      <c r="O17" s="7"/>
    </row>
    <row r="18" spans="1:16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41</v>
      </c>
      <c r="J18" s="7"/>
      <c r="K18" s="9"/>
      <c r="L18" s="7"/>
      <c r="M18" s="21">
        <v>102367.96017084469</v>
      </c>
      <c r="N18" s="7"/>
      <c r="O18" s="7"/>
    </row>
    <row r="19" spans="1:16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30</v>
      </c>
      <c r="J19" s="7"/>
      <c r="K19" s="9"/>
      <c r="L19" s="7"/>
      <c r="M19" s="21">
        <v>73937.764851694461</v>
      </c>
      <c r="N19" s="7"/>
      <c r="O19" s="7"/>
    </row>
    <row r="20" spans="1:16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42</v>
      </c>
      <c r="J20" s="7"/>
      <c r="K20" s="20"/>
      <c r="L20" s="7"/>
      <c r="M20" s="21">
        <v>103512.87079237225</v>
      </c>
      <c r="N20" s="7"/>
      <c r="O20" s="7"/>
    </row>
    <row r="21" spans="1:16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42</v>
      </c>
      <c r="J21" s="7"/>
      <c r="K21" s="20"/>
      <c r="L21" s="7"/>
      <c r="M21" s="21">
        <v>103512.87079237225</v>
      </c>
      <c r="N21" s="7"/>
      <c r="O21" s="7"/>
    </row>
    <row r="22" spans="1:16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41</v>
      </c>
      <c r="J22" s="7"/>
      <c r="K22" s="20"/>
      <c r="L22" s="7"/>
      <c r="M22" s="21">
        <v>101048.2786306491</v>
      </c>
      <c r="N22" s="7"/>
      <c r="O22" s="7"/>
    </row>
    <row r="23" spans="1:16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6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278.5</v>
      </c>
      <c r="J24" s="7"/>
      <c r="K24" s="20"/>
      <c r="L24" s="7"/>
      <c r="M24" s="25">
        <v>690378.10321319161</v>
      </c>
      <c r="N24" s="7"/>
      <c r="O24" s="26">
        <v>690378.10321319161</v>
      </c>
    </row>
    <row r="25" spans="1:16" ht="16.5" thickTop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  <c r="P25" s="328"/>
    </row>
    <row r="26" spans="1:16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329"/>
    </row>
    <row r="27" spans="1:16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330"/>
    </row>
    <row r="28" spans="1:16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8136.9361195807396</v>
      </c>
      <c r="N28" s="7"/>
      <c r="O28" s="27"/>
      <c r="P28" s="331"/>
    </row>
    <row r="29" spans="1:16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27"/>
      <c r="P29" s="331"/>
    </row>
    <row r="30" spans="1:16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24369.382004669882</v>
      </c>
      <c r="N30" s="7"/>
      <c r="O30" s="27"/>
      <c r="P30" s="331"/>
    </row>
    <row r="31" spans="1:16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27458.85072630037</v>
      </c>
      <c r="N31" s="7"/>
      <c r="O31" s="27"/>
      <c r="P31" s="331"/>
    </row>
    <row r="32" spans="1:16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17521.25</v>
      </c>
      <c r="N32" s="7"/>
      <c r="O32" s="7"/>
      <c r="P32" s="331"/>
    </row>
    <row r="33" spans="1:16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5892.0691232214658</v>
      </c>
      <c r="N33" s="7"/>
      <c r="O33" s="7"/>
      <c r="P33" s="331"/>
    </row>
    <row r="34" spans="1:16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  <c r="P34" s="331"/>
    </row>
    <row r="35" spans="1:16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  <c r="P35" s="331"/>
    </row>
    <row r="36" spans="1:16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1741.332140625</v>
      </c>
      <c r="N36" s="7"/>
      <c r="O36" s="7"/>
      <c r="P36" s="331"/>
    </row>
    <row r="37" spans="1:16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1676</v>
      </c>
      <c r="N37" s="7"/>
      <c r="O37" s="7"/>
      <c r="P37" s="331"/>
    </row>
    <row r="38" spans="1:16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8193.4700000000012</v>
      </c>
      <c r="N38" s="7"/>
      <c r="O38" s="7"/>
      <c r="P38" s="331"/>
    </row>
    <row r="39" spans="1:16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2000</v>
      </c>
      <c r="N39" s="7"/>
      <c r="O39" s="7"/>
      <c r="P39" s="331"/>
    </row>
    <row r="40" spans="1:16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2470.3870937499996</v>
      </c>
      <c r="N40" s="7"/>
      <c r="O40" s="7"/>
      <c r="P40" s="331"/>
    </row>
    <row r="41" spans="1:16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2117.9961745312494</v>
      </c>
      <c r="N41" s="7"/>
      <c r="O41" s="7"/>
      <c r="P41" s="331"/>
    </row>
    <row r="42" spans="1:16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644.90268134765608</v>
      </c>
      <c r="N42" s="7"/>
      <c r="O42" s="7"/>
      <c r="P42" s="331"/>
    </row>
    <row r="43" spans="1:16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  <c r="P43" s="331"/>
    </row>
    <row r="44" spans="1:16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  <c r="P44" s="331"/>
    </row>
    <row r="45" spans="1:16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  <c r="P45" s="331"/>
    </row>
    <row r="46" spans="1:16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739.13043478260863</v>
      </c>
      <c r="N46" s="7"/>
      <c r="O46" s="7"/>
      <c r="P46" s="331"/>
    </row>
    <row r="47" spans="1:16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28899.938539999999</v>
      </c>
      <c r="N47" s="7"/>
      <c r="O47" s="7"/>
      <c r="P47" s="331"/>
    </row>
    <row r="48" spans="1:16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  <c r="P48" s="331"/>
    </row>
    <row r="49" spans="1:16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  <c r="P49" s="331"/>
    </row>
    <row r="50" spans="1:16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159533.96988846152</v>
      </c>
      <c r="N50" s="7"/>
      <c r="O50" s="7"/>
      <c r="P50" s="331"/>
    </row>
    <row r="51" spans="1:16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330"/>
    </row>
    <row r="52" spans="1:16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319053.08236727049</v>
      </c>
      <c r="N52" s="7"/>
      <c r="O52" s="31">
        <v>319053.08236727049</v>
      </c>
      <c r="P52" s="332"/>
    </row>
    <row r="53" spans="1:16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6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6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6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6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</row>
    <row r="58" spans="1:16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6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98484</v>
      </c>
      <c r="N59" s="7"/>
      <c r="O59" s="7"/>
    </row>
    <row r="60" spans="1:16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6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6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6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98484</v>
      </c>
      <c r="N63" s="7"/>
      <c r="O63" s="7"/>
    </row>
    <row r="64" spans="1:16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98484</v>
      </c>
      <c r="N66" s="7"/>
      <c r="O66" s="39">
        <v>98484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1107915.1855804622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61">
    <pageSetUpPr fitToPage="1"/>
  </sheetPr>
  <dimension ref="A1:O70"/>
  <sheetViews>
    <sheetView zoomScale="80" zoomScaleNormal="80" workbookViewId="0">
      <selection activeCell="R20" sqref="R20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44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0</v>
      </c>
      <c r="J15" s="7"/>
      <c r="K15" s="9"/>
      <c r="L15" s="7"/>
      <c r="M15" s="21">
        <v>0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25</v>
      </c>
      <c r="J16" s="7"/>
      <c r="K16" s="9"/>
      <c r="L16" s="7"/>
      <c r="M16" s="21">
        <v>62419.487909051633</v>
      </c>
      <c r="N16" s="7"/>
      <c r="O16" s="7"/>
    </row>
    <row r="17" spans="1:15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18</v>
      </c>
      <c r="J17" s="7"/>
      <c r="K17" s="9"/>
      <c r="L17" s="7"/>
      <c r="M17" s="21">
        <v>44942.031294517175</v>
      </c>
      <c r="N17" s="7"/>
      <c r="O17" s="7"/>
    </row>
    <row r="18" spans="1:15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26</v>
      </c>
      <c r="J18" s="7"/>
      <c r="K18" s="9"/>
      <c r="L18" s="7"/>
      <c r="M18" s="21">
        <v>64916.267425413702</v>
      </c>
      <c r="N18" s="7"/>
      <c r="O18" s="7"/>
    </row>
    <row r="19" spans="1:15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23</v>
      </c>
      <c r="J19" s="7"/>
      <c r="K19" s="9"/>
      <c r="L19" s="7"/>
      <c r="M19" s="21">
        <v>56685.619719632421</v>
      </c>
      <c r="N19" s="7"/>
      <c r="O19" s="7"/>
    </row>
    <row r="20" spans="1:15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27</v>
      </c>
      <c r="J20" s="7"/>
      <c r="K20" s="20"/>
      <c r="L20" s="7"/>
      <c r="M20" s="21">
        <v>66543.988366525024</v>
      </c>
      <c r="N20" s="7"/>
      <c r="O20" s="7"/>
    </row>
    <row r="21" spans="1:15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28</v>
      </c>
      <c r="J21" s="7"/>
      <c r="K21" s="20"/>
      <c r="L21" s="7"/>
      <c r="M21" s="21">
        <v>69008.58052824816</v>
      </c>
      <c r="N21" s="7"/>
      <c r="O21" s="7"/>
    </row>
    <row r="22" spans="1:15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26</v>
      </c>
      <c r="J22" s="7"/>
      <c r="K22" s="20"/>
      <c r="L22" s="7"/>
      <c r="M22" s="21">
        <v>64079.396204801873</v>
      </c>
      <c r="N22" s="7"/>
      <c r="O22" s="7"/>
    </row>
    <row r="23" spans="1:15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5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173</v>
      </c>
      <c r="J24" s="7"/>
      <c r="K24" s="20"/>
      <c r="L24" s="7"/>
      <c r="M24" s="25">
        <v>428595.37144819001</v>
      </c>
      <c r="N24" s="7"/>
      <c r="O24" s="26">
        <v>428595.37144819001</v>
      </c>
    </row>
    <row r="25" spans="1:15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5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4553.9509746861186</v>
      </c>
      <c r="N28" s="7"/>
      <c r="O28" s="7"/>
    </row>
    <row r="29" spans="1:15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7"/>
    </row>
    <row r="30" spans="1:15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10229.001060879313</v>
      </c>
      <c r="N30" s="7"/>
      <c r="O30" s="7"/>
    </row>
    <row r="31" spans="1:15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11525.799593770127</v>
      </c>
      <c r="N31" s="7"/>
      <c r="O31" s="7"/>
    </row>
    <row r="32" spans="1:15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15782.500000000002</v>
      </c>
      <c r="N32" s="7"/>
      <c r="O32" s="7"/>
    </row>
    <row r="33" spans="1:15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5978.1814319363384</v>
      </c>
      <c r="N33" s="7"/>
      <c r="O33" s="7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</row>
    <row r="35" spans="1:15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</row>
    <row r="36" spans="1:15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1741.332140625</v>
      </c>
      <c r="N36" s="7"/>
      <c r="O36" s="7"/>
    </row>
    <row r="37" spans="1:15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1676</v>
      </c>
      <c r="N37" s="7"/>
      <c r="O37" s="7"/>
    </row>
    <row r="38" spans="1:15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5089.66</v>
      </c>
      <c r="N38" s="7"/>
      <c r="O38" s="7"/>
    </row>
    <row r="39" spans="1:15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1000</v>
      </c>
      <c r="N39" s="7"/>
      <c r="O39" s="7"/>
    </row>
    <row r="40" spans="1:15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2470.3870937499996</v>
      </c>
      <c r="N40" s="7"/>
      <c r="O40" s="7"/>
    </row>
    <row r="41" spans="1:15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1693.7180946972651</v>
      </c>
      <c r="N41" s="7"/>
      <c r="O41" s="7"/>
    </row>
    <row r="42" spans="1:15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515.9221450781248</v>
      </c>
      <c r="N42" s="7"/>
      <c r="O42" s="7"/>
    </row>
    <row r="43" spans="1:15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</row>
    <row r="46" spans="1:15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0</v>
      </c>
      <c r="N46" s="7"/>
      <c r="O46" s="7"/>
    </row>
    <row r="47" spans="1:15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17339.963123999998</v>
      </c>
      <c r="N47" s="7"/>
      <c r="O47" s="7"/>
    </row>
    <row r="48" spans="1:15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</row>
    <row r="49" spans="1:15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</row>
    <row r="50" spans="1:15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144808.40609999999</v>
      </c>
      <c r="N50" s="7"/>
      <c r="O50" s="7"/>
    </row>
    <row r="51" spans="1:15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252062.28919942229</v>
      </c>
      <c r="N52" s="7"/>
      <c r="O52" s="31">
        <v>252062.28919942229</v>
      </c>
    </row>
    <row r="53" spans="1:15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5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5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5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</row>
    <row r="58" spans="1:15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5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63983</v>
      </c>
      <c r="N59" s="7"/>
      <c r="O59" s="7"/>
    </row>
    <row r="60" spans="1:15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5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5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5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63983</v>
      </c>
      <c r="N63" s="7"/>
      <c r="O63" s="7"/>
    </row>
    <row r="64" spans="1:15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63983</v>
      </c>
      <c r="N66" s="7"/>
      <c r="O66" s="39">
        <v>63983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744640.6606476123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62">
    <pageSetUpPr fitToPage="1"/>
  </sheetPr>
  <dimension ref="A1:O70"/>
  <sheetViews>
    <sheetView zoomScale="80" zoomScaleNormal="80" workbookViewId="0">
      <selection activeCell="Q11" sqref="Q11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45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27</v>
      </c>
      <c r="J15" s="7"/>
      <c r="K15" s="9"/>
      <c r="L15" s="7"/>
      <c r="M15" s="21">
        <v>67431.549021555678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47</v>
      </c>
      <c r="J16" s="7"/>
      <c r="K16" s="9"/>
      <c r="L16" s="7"/>
      <c r="M16" s="21">
        <v>117348.63726901707</v>
      </c>
      <c r="N16" s="7"/>
      <c r="O16" s="7"/>
    </row>
    <row r="17" spans="1:15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49</v>
      </c>
      <c r="J17" s="7"/>
      <c r="K17" s="9"/>
      <c r="L17" s="7"/>
      <c r="M17" s="21">
        <v>122342.19630174121</v>
      </c>
      <c r="N17" s="7"/>
      <c r="O17" s="7"/>
    </row>
    <row r="18" spans="1:15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58</v>
      </c>
      <c r="J18" s="7"/>
      <c r="K18" s="9"/>
      <c r="L18" s="7"/>
      <c r="M18" s="21">
        <v>144813.21194899979</v>
      </c>
      <c r="N18" s="7"/>
      <c r="O18" s="7"/>
    </row>
    <row r="19" spans="1:15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44</v>
      </c>
      <c r="J19" s="7"/>
      <c r="K19" s="9"/>
      <c r="L19" s="7"/>
      <c r="M19" s="21">
        <v>108442.05511581854</v>
      </c>
      <c r="N19" s="7"/>
      <c r="O19" s="7"/>
    </row>
    <row r="20" spans="1:15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39</v>
      </c>
      <c r="J20" s="7"/>
      <c r="K20" s="20"/>
      <c r="L20" s="7"/>
      <c r="M20" s="21">
        <v>96119.094307202802</v>
      </c>
      <c r="N20" s="7"/>
      <c r="O20" s="7"/>
    </row>
    <row r="21" spans="1:15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45</v>
      </c>
      <c r="J21" s="7"/>
      <c r="K21" s="20"/>
      <c r="L21" s="7"/>
      <c r="M21" s="21">
        <v>110906.64727754169</v>
      </c>
      <c r="N21" s="7"/>
      <c r="O21" s="7"/>
    </row>
    <row r="22" spans="1:15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36</v>
      </c>
      <c r="J22" s="7"/>
      <c r="K22" s="20"/>
      <c r="L22" s="7"/>
      <c r="M22" s="21">
        <v>88725.317822033365</v>
      </c>
      <c r="N22" s="7"/>
      <c r="O22" s="7"/>
    </row>
    <row r="23" spans="1:15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5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345</v>
      </c>
      <c r="J24" s="7"/>
      <c r="K24" s="20"/>
      <c r="L24" s="7"/>
      <c r="M24" s="25">
        <v>856128.70906391018</v>
      </c>
      <c r="N24" s="7"/>
      <c r="O24" s="26">
        <v>856128.70906391018</v>
      </c>
    </row>
    <row r="25" spans="1:15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5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6994.7746497276303</v>
      </c>
      <c r="N28" s="7"/>
      <c r="O28" s="7"/>
    </row>
    <row r="29" spans="1:15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7"/>
    </row>
    <row r="30" spans="1:15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15711.534381989522</v>
      </c>
      <c r="N30" s="7"/>
      <c r="O30" s="7"/>
    </row>
    <row r="31" spans="1:15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17703.390147255828</v>
      </c>
      <c r="N31" s="7"/>
      <c r="O31" s="7"/>
    </row>
    <row r="32" spans="1:15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25278.75</v>
      </c>
      <c r="N32" s="7"/>
      <c r="O32" s="7"/>
    </row>
    <row r="33" spans="1:15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11751.018127706442</v>
      </c>
      <c r="N33" s="7"/>
      <c r="O33" s="7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</row>
    <row r="35" spans="1:15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</row>
    <row r="36" spans="1:15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1900.711953125</v>
      </c>
      <c r="N36" s="7"/>
      <c r="O36" s="7"/>
    </row>
    <row r="37" spans="1:15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2406</v>
      </c>
      <c r="N37" s="7"/>
      <c r="O37" s="7"/>
    </row>
    <row r="38" spans="1:15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10149.900000000001</v>
      </c>
      <c r="N38" s="7"/>
      <c r="O38" s="7"/>
    </row>
    <row r="39" spans="1:15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2000</v>
      </c>
      <c r="N39" s="7"/>
      <c r="O39" s="7"/>
    </row>
    <row r="40" spans="1:15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2906.5277968749997</v>
      </c>
      <c r="N40" s="7"/>
      <c r="O40" s="7"/>
    </row>
    <row r="41" spans="1:15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1693.7180946972651</v>
      </c>
      <c r="N41" s="7"/>
      <c r="O41" s="7"/>
    </row>
    <row r="42" spans="1:15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515.9221450781248</v>
      </c>
      <c r="N42" s="7"/>
      <c r="O42" s="7"/>
    </row>
    <row r="43" spans="1:15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1121.99</v>
      </c>
      <c r="N45" s="7"/>
      <c r="O45" s="7"/>
    </row>
    <row r="46" spans="1:15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0</v>
      </c>
      <c r="N46" s="7"/>
      <c r="O46" s="7"/>
    </row>
    <row r="47" spans="1:15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28899.938539999999</v>
      </c>
      <c r="N47" s="7"/>
      <c r="O47" s="7"/>
    </row>
    <row r="48" spans="1:15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</row>
    <row r="49" spans="1:15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</row>
    <row r="50" spans="1:15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162826.86859999999</v>
      </c>
      <c r="N50" s="7"/>
      <c r="O50" s="7"/>
    </row>
    <row r="51" spans="1:15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319518.51187645481</v>
      </c>
      <c r="N52" s="7"/>
      <c r="O52" s="31">
        <v>319518.51187645481</v>
      </c>
    </row>
    <row r="53" spans="1:15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5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5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5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</row>
    <row r="58" spans="1:15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5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133928</v>
      </c>
      <c r="N59" s="7"/>
      <c r="O59" s="7"/>
    </row>
    <row r="60" spans="1:15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5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5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5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133928</v>
      </c>
      <c r="N63" s="7"/>
      <c r="O63" s="7"/>
    </row>
    <row r="64" spans="1:15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133928</v>
      </c>
      <c r="N66" s="7"/>
      <c r="O66" s="39">
        <v>133928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1309575.220940365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63">
    <pageSetUpPr fitToPage="1"/>
  </sheetPr>
  <dimension ref="A1:O70"/>
  <sheetViews>
    <sheetView zoomScale="80" zoomScaleNormal="80" workbookViewId="0">
      <selection activeCell="R11" sqref="R11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46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2497.4647785761363</v>
      </c>
      <c r="F15" s="7"/>
      <c r="G15" s="9"/>
      <c r="H15" s="7"/>
      <c r="I15" s="19">
        <v>0</v>
      </c>
      <c r="J15" s="7"/>
      <c r="K15" s="9"/>
      <c r="L15" s="7"/>
      <c r="M15" s="21">
        <v>0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2496.7795163620654</v>
      </c>
      <c r="F16" s="7"/>
      <c r="G16" s="9"/>
      <c r="H16" s="7"/>
      <c r="I16" s="19">
        <v>39</v>
      </c>
      <c r="J16" s="7"/>
      <c r="K16" s="9"/>
      <c r="L16" s="7"/>
      <c r="M16" s="21">
        <v>97374.401138120549</v>
      </c>
      <c r="N16" s="7"/>
      <c r="O16" s="7"/>
    </row>
    <row r="17" spans="1:15" ht="15" x14ac:dyDescent="0.2">
      <c r="A17" s="7"/>
      <c r="B17" s="7"/>
      <c r="C17" s="16" t="s">
        <v>2</v>
      </c>
      <c r="D17" s="7"/>
      <c r="E17" s="7">
        <v>2496.7795163620654</v>
      </c>
      <c r="F17" s="7"/>
      <c r="G17" s="9"/>
      <c r="H17" s="7"/>
      <c r="I17" s="19">
        <v>39</v>
      </c>
      <c r="J17" s="7"/>
      <c r="K17" s="9"/>
      <c r="L17" s="7"/>
      <c r="M17" s="21">
        <v>97374.401138120549</v>
      </c>
      <c r="N17" s="7"/>
      <c r="O17" s="7"/>
    </row>
    <row r="18" spans="1:15" ht="15" x14ac:dyDescent="0.2">
      <c r="A18" s="7"/>
      <c r="B18" s="7"/>
      <c r="C18" s="16" t="s">
        <v>3</v>
      </c>
      <c r="D18" s="7"/>
      <c r="E18" s="7">
        <v>2496.7795163620654</v>
      </c>
      <c r="F18" s="7"/>
      <c r="G18" s="9"/>
      <c r="H18" s="7"/>
      <c r="I18" s="19">
        <v>41</v>
      </c>
      <c r="J18" s="7"/>
      <c r="K18" s="9"/>
      <c r="L18" s="7"/>
      <c r="M18" s="21">
        <v>102367.96017084469</v>
      </c>
      <c r="N18" s="7"/>
      <c r="O18" s="7"/>
    </row>
    <row r="19" spans="1:15" ht="15" x14ac:dyDescent="0.2">
      <c r="A19" s="7"/>
      <c r="B19" s="7"/>
      <c r="C19" s="16" t="s">
        <v>4</v>
      </c>
      <c r="D19" s="7"/>
      <c r="E19" s="7">
        <v>2464.5921617231488</v>
      </c>
      <c r="F19" s="7"/>
      <c r="G19" s="9"/>
      <c r="H19" s="7"/>
      <c r="I19" s="19">
        <v>32</v>
      </c>
      <c r="J19" s="7"/>
      <c r="K19" s="9"/>
      <c r="L19" s="7"/>
      <c r="M19" s="21">
        <v>78866.949175140762</v>
      </c>
      <c r="N19" s="7"/>
      <c r="O19" s="7"/>
    </row>
    <row r="20" spans="1:15" ht="15" x14ac:dyDescent="0.2">
      <c r="A20" s="7"/>
      <c r="B20" s="7"/>
      <c r="C20" s="16" t="s">
        <v>5</v>
      </c>
      <c r="D20" s="7"/>
      <c r="E20" s="7">
        <v>2464.5921617231488</v>
      </c>
      <c r="F20" s="7"/>
      <c r="G20" s="18"/>
      <c r="H20" s="7"/>
      <c r="I20" s="19">
        <v>45</v>
      </c>
      <c r="J20" s="7"/>
      <c r="K20" s="20"/>
      <c r="L20" s="7"/>
      <c r="M20" s="21">
        <v>110906.64727754169</v>
      </c>
      <c r="N20" s="7"/>
      <c r="O20" s="7"/>
    </row>
    <row r="21" spans="1:15" ht="15" x14ac:dyDescent="0.2">
      <c r="A21" s="7"/>
      <c r="B21" s="7"/>
      <c r="C21" s="16" t="s">
        <v>6</v>
      </c>
      <c r="D21" s="7"/>
      <c r="E21" s="7">
        <v>2464.5921617231488</v>
      </c>
      <c r="F21" s="7"/>
      <c r="G21" s="18"/>
      <c r="H21" s="7"/>
      <c r="I21" s="19">
        <v>42</v>
      </c>
      <c r="J21" s="7"/>
      <c r="K21" s="20"/>
      <c r="L21" s="7"/>
      <c r="M21" s="21">
        <v>103512.87079237225</v>
      </c>
      <c r="N21" s="7"/>
      <c r="O21" s="7"/>
    </row>
    <row r="22" spans="1:15" ht="15" x14ac:dyDescent="0.2">
      <c r="A22" s="7"/>
      <c r="B22" s="7"/>
      <c r="C22" s="16" t="s">
        <v>7</v>
      </c>
      <c r="D22" s="7"/>
      <c r="E22" s="7">
        <v>2464.5921617231488</v>
      </c>
      <c r="F22" s="7"/>
      <c r="G22" s="18"/>
      <c r="H22" s="7"/>
      <c r="I22" s="19">
        <v>37</v>
      </c>
      <c r="J22" s="7"/>
      <c r="K22" s="20"/>
      <c r="L22" s="7"/>
      <c r="M22" s="21">
        <v>91189.909983756501</v>
      </c>
      <c r="N22" s="7"/>
      <c r="O22" s="7"/>
    </row>
    <row r="23" spans="1:15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5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275</v>
      </c>
      <c r="J24" s="7"/>
      <c r="K24" s="20"/>
      <c r="L24" s="7"/>
      <c r="M24" s="25">
        <v>681593.13967589696</v>
      </c>
      <c r="N24" s="7"/>
      <c r="O24" s="26">
        <v>681593.13967589696</v>
      </c>
    </row>
    <row r="25" spans="1:15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5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6487.8004366696405</v>
      </c>
      <c r="N28" s="7"/>
      <c r="O28" s="7"/>
    </row>
    <row r="29" spans="1:15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7"/>
    </row>
    <row r="30" spans="1:15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14572.778213547004</v>
      </c>
      <c r="N30" s="7"/>
      <c r="O30" s="7"/>
    </row>
    <row r="31" spans="1:15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16420.266281540858</v>
      </c>
      <c r="N31" s="7"/>
      <c r="O31" s="7"/>
    </row>
    <row r="32" spans="1:15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20597.5</v>
      </c>
      <c r="N32" s="7"/>
      <c r="O32" s="7"/>
    </row>
    <row r="33" spans="1:15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6461.7351654890836</v>
      </c>
      <c r="N33" s="7"/>
      <c r="O33" s="7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</row>
    <row r="35" spans="1:15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</row>
    <row r="36" spans="1:15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1741.332140625</v>
      </c>
      <c r="N36" s="7"/>
      <c r="O36" s="7"/>
    </row>
    <row r="37" spans="1:15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1676</v>
      </c>
      <c r="N37" s="7"/>
      <c r="O37" s="7"/>
    </row>
    <row r="38" spans="1:15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8090.5000000000009</v>
      </c>
      <c r="N38" s="7"/>
      <c r="O38" s="7"/>
    </row>
    <row r="39" spans="1:15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1000</v>
      </c>
      <c r="N39" s="7"/>
      <c r="O39" s="7"/>
    </row>
    <row r="40" spans="1:15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2470.3870937499996</v>
      </c>
      <c r="N40" s="7"/>
      <c r="O40" s="7"/>
    </row>
    <row r="41" spans="1:15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1693.7180946972651</v>
      </c>
      <c r="N41" s="7"/>
      <c r="O41" s="7"/>
    </row>
    <row r="42" spans="1:15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515.9221450781248</v>
      </c>
      <c r="N42" s="7"/>
      <c r="O42" s="7"/>
    </row>
    <row r="43" spans="1:15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</row>
    <row r="46" spans="1:15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0</v>
      </c>
      <c r="N46" s="7"/>
      <c r="O46" s="7"/>
    </row>
    <row r="47" spans="1:15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17339.963123999998</v>
      </c>
      <c r="N47" s="7"/>
      <c r="O47" s="7"/>
    </row>
    <row r="48" spans="1:15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</row>
    <row r="49" spans="1:15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</row>
    <row r="50" spans="1:15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129234.25049999999</v>
      </c>
      <c r="N50" s="7"/>
      <c r="O50" s="7"/>
    </row>
    <row r="51" spans="1:15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255959.62063539698</v>
      </c>
      <c r="N52" s="7"/>
      <c r="O52" s="31">
        <v>255959.62063539698</v>
      </c>
    </row>
    <row r="53" spans="1:15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5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5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5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</row>
    <row r="58" spans="1:15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5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93095</v>
      </c>
      <c r="N59" s="7"/>
      <c r="O59" s="7"/>
    </row>
    <row r="60" spans="1:15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5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5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5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93095</v>
      </c>
      <c r="N63" s="7"/>
      <c r="O63" s="7"/>
    </row>
    <row r="64" spans="1:15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93095</v>
      </c>
      <c r="N66" s="7"/>
      <c r="O66" s="39">
        <v>93095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1030647.7603112939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64">
    <pageSetUpPr fitToPage="1"/>
  </sheetPr>
  <dimension ref="A1:O70"/>
  <sheetViews>
    <sheetView zoomScale="80" zoomScaleNormal="80" workbookViewId="0">
      <selection activeCell="P13" sqref="P13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47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2547.3160342369952</v>
      </c>
      <c r="F15" s="7"/>
      <c r="G15" s="9"/>
      <c r="H15" s="7"/>
      <c r="I15" s="19">
        <v>17</v>
      </c>
      <c r="J15" s="7"/>
      <c r="K15" s="9"/>
      <c r="L15" s="7"/>
      <c r="M15" s="21">
        <v>43304.372582028918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2540.1247748737337</v>
      </c>
      <c r="F16" s="7"/>
      <c r="G16" s="9"/>
      <c r="H16" s="7"/>
      <c r="I16" s="19">
        <v>65</v>
      </c>
      <c r="J16" s="7"/>
      <c r="K16" s="9"/>
      <c r="L16" s="7"/>
      <c r="M16" s="21">
        <v>165108.11036679268</v>
      </c>
      <c r="N16" s="7"/>
      <c r="O16" s="7"/>
    </row>
    <row r="17" spans="1:15" ht="15" x14ac:dyDescent="0.2">
      <c r="A17" s="7"/>
      <c r="B17" s="7"/>
      <c r="C17" s="16" t="s">
        <v>2</v>
      </c>
      <c r="D17" s="7"/>
      <c r="E17" s="7">
        <v>2540.1247748737337</v>
      </c>
      <c r="F17" s="7"/>
      <c r="G17" s="9"/>
      <c r="H17" s="7"/>
      <c r="I17" s="19">
        <v>30</v>
      </c>
      <c r="J17" s="7"/>
      <c r="K17" s="9"/>
      <c r="L17" s="7"/>
      <c r="M17" s="21">
        <v>76203.743246212005</v>
      </c>
      <c r="N17" s="7"/>
      <c r="O17" s="7"/>
    </row>
    <row r="18" spans="1:15" ht="15" x14ac:dyDescent="0.2">
      <c r="A18" s="7"/>
      <c r="B18" s="7"/>
      <c r="C18" s="16" t="s">
        <v>3</v>
      </c>
      <c r="D18" s="7"/>
      <c r="E18" s="81">
        <v>2540.1247748737337</v>
      </c>
      <c r="F18" s="7"/>
      <c r="G18" s="9"/>
      <c r="H18" s="7"/>
      <c r="I18" s="19">
        <v>39</v>
      </c>
      <c r="J18" s="7"/>
      <c r="K18" s="9"/>
      <c r="L18" s="7"/>
      <c r="M18" s="21">
        <v>99064.866220075608</v>
      </c>
      <c r="N18" s="7"/>
      <c r="O18" s="7"/>
    </row>
    <row r="19" spans="1:15" ht="15" x14ac:dyDescent="0.2">
      <c r="A19" s="7"/>
      <c r="B19" s="7"/>
      <c r="C19" s="16" t="s">
        <v>4</v>
      </c>
      <c r="D19" s="7"/>
      <c r="E19" s="81">
        <v>2507.9374202348172</v>
      </c>
      <c r="F19" s="7"/>
      <c r="G19" s="9"/>
      <c r="H19" s="7"/>
      <c r="I19" s="19">
        <v>23</v>
      </c>
      <c r="J19" s="7"/>
      <c r="K19" s="9"/>
      <c r="L19" s="7"/>
      <c r="M19" s="21">
        <v>57682.560665400793</v>
      </c>
      <c r="N19" s="7"/>
      <c r="O19" s="7"/>
    </row>
    <row r="20" spans="1:15" ht="15" x14ac:dyDescent="0.2">
      <c r="A20" s="7"/>
      <c r="B20" s="7"/>
      <c r="C20" s="16" t="s">
        <v>5</v>
      </c>
      <c r="D20" s="7"/>
      <c r="E20" s="81">
        <v>2507.9374202348172</v>
      </c>
      <c r="F20" s="7"/>
      <c r="G20" s="18"/>
      <c r="H20" s="7"/>
      <c r="I20" s="19">
        <v>33</v>
      </c>
      <c r="J20" s="7"/>
      <c r="K20" s="20"/>
      <c r="L20" s="7"/>
      <c r="M20" s="21">
        <v>82761.934867748962</v>
      </c>
      <c r="N20" s="7"/>
      <c r="O20" s="7"/>
    </row>
    <row r="21" spans="1:15" ht="15" x14ac:dyDescent="0.2">
      <c r="A21" s="7"/>
      <c r="B21" s="7"/>
      <c r="C21" s="16" t="s">
        <v>6</v>
      </c>
      <c r="D21" s="7"/>
      <c r="E21" s="81">
        <v>2507.9374202348172</v>
      </c>
      <c r="F21" s="7"/>
      <c r="G21" s="18"/>
      <c r="H21" s="7"/>
      <c r="I21" s="19">
        <v>32</v>
      </c>
      <c r="J21" s="7"/>
      <c r="K21" s="20"/>
      <c r="L21" s="7"/>
      <c r="M21" s="21">
        <v>80253.99744751415</v>
      </c>
      <c r="N21" s="7"/>
      <c r="O21" s="7"/>
    </row>
    <row r="22" spans="1:15" ht="15" x14ac:dyDescent="0.2">
      <c r="A22" s="7"/>
      <c r="B22" s="7"/>
      <c r="C22" s="16" t="s">
        <v>7</v>
      </c>
      <c r="D22" s="7"/>
      <c r="E22" s="81">
        <v>2507.9374202348172</v>
      </c>
      <c r="F22" s="7"/>
      <c r="G22" s="18"/>
      <c r="H22" s="7"/>
      <c r="I22" s="19">
        <v>29</v>
      </c>
      <c r="J22" s="7"/>
      <c r="K22" s="20"/>
      <c r="L22" s="7"/>
      <c r="M22" s="21">
        <v>72730.1851868097</v>
      </c>
      <c r="N22" s="7"/>
      <c r="O22" s="7"/>
    </row>
    <row r="23" spans="1:15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5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268</v>
      </c>
      <c r="J24" s="7"/>
      <c r="K24" s="20"/>
      <c r="L24" s="7"/>
      <c r="M24" s="25">
        <v>677109.77058258292</v>
      </c>
      <c r="N24" s="7"/>
      <c r="O24" s="26">
        <v>677109.77058258292</v>
      </c>
    </row>
    <row r="25" spans="1:15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5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5113.8268447588562</v>
      </c>
      <c r="N28" s="7"/>
      <c r="O28" s="7"/>
    </row>
    <row r="29" spans="1:15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26658.46744</v>
      </c>
      <c r="N29" s="7"/>
      <c r="O29" s="7"/>
    </row>
    <row r="30" spans="1:15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11486.58395994192</v>
      </c>
      <c r="N30" s="7"/>
      <c r="O30" s="7"/>
    </row>
    <row r="31" spans="1:15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12942.814645472748</v>
      </c>
      <c r="N31" s="7"/>
      <c r="O31" s="7"/>
    </row>
    <row r="32" spans="1:15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7757.5</v>
      </c>
      <c r="N32" s="7"/>
      <c r="O32" s="7"/>
    </row>
    <row r="33" spans="1:15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2036.8873022940986</v>
      </c>
      <c r="N33" s="7"/>
      <c r="O33" s="7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</row>
    <row r="35" spans="1:15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</row>
    <row r="36" spans="1:15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1741.332140625</v>
      </c>
      <c r="N36" s="7"/>
      <c r="O36" s="7"/>
    </row>
    <row r="37" spans="1:15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1676</v>
      </c>
      <c r="N37" s="7"/>
      <c r="O37" s="7"/>
    </row>
    <row r="38" spans="1:15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7884.56</v>
      </c>
      <c r="N38" s="7"/>
      <c r="O38" s="7"/>
    </row>
    <row r="39" spans="1:15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1000</v>
      </c>
      <c r="N39" s="7"/>
      <c r="O39" s="7"/>
    </row>
    <row r="40" spans="1:15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2470.3870937499996</v>
      </c>
      <c r="N40" s="7"/>
      <c r="O40" s="7"/>
    </row>
    <row r="41" spans="1:15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423.14667162109367</v>
      </c>
      <c r="N41" s="7"/>
      <c r="O41" s="7"/>
    </row>
    <row r="42" spans="1:15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128.9805362695312</v>
      </c>
      <c r="N42" s="7"/>
      <c r="O42" s="7"/>
    </row>
    <row r="43" spans="1:15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</row>
    <row r="46" spans="1:15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0</v>
      </c>
      <c r="N46" s="7"/>
      <c r="O46" s="7"/>
    </row>
    <row r="47" spans="1:15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17339.963123999998</v>
      </c>
      <c r="N47" s="7"/>
      <c r="O47" s="7"/>
    </row>
    <row r="48" spans="1:15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</row>
    <row r="49" spans="1:15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</row>
    <row r="50" spans="1:15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134924.80735384615</v>
      </c>
      <c r="N50" s="7"/>
      <c r="O50" s="7"/>
    </row>
    <row r="51" spans="1:15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234584.25711257942</v>
      </c>
      <c r="N52" s="7"/>
      <c r="O52" s="31">
        <v>234584.25711257942</v>
      </c>
    </row>
    <row r="53" spans="1:15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5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5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5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</row>
    <row r="58" spans="1:15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5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35391</v>
      </c>
      <c r="N59" s="7"/>
      <c r="O59" s="7"/>
    </row>
    <row r="60" spans="1:15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5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5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5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35391</v>
      </c>
      <c r="N63" s="7"/>
      <c r="O63" s="7"/>
    </row>
    <row r="64" spans="1:15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35391</v>
      </c>
      <c r="N66" s="7"/>
      <c r="O66" s="39">
        <v>35391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947085.02769516234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5">
    <pageSetUpPr fitToPage="1"/>
  </sheetPr>
  <dimension ref="A1:O70"/>
  <sheetViews>
    <sheetView zoomScale="80" zoomScaleNormal="80" workbookViewId="0">
      <selection activeCell="P13" sqref="P13"/>
    </sheetView>
  </sheetViews>
  <sheetFormatPr defaultColWidth="9.140625" defaultRowHeight="12.75" x14ac:dyDescent="0.2"/>
  <cols>
    <col min="1" max="2" width="9.140625" style="1"/>
    <col min="3" max="3" width="7.85546875" style="1" customWidth="1"/>
    <col min="4" max="4" width="9.140625" style="1"/>
    <col min="5" max="5" width="9.7109375" style="1" customWidth="1"/>
    <col min="6" max="6" width="2.5703125" style="1" customWidth="1"/>
    <col min="7" max="7" width="14.140625" style="1" customWidth="1"/>
    <col min="8" max="8" width="2.7109375" style="1" customWidth="1"/>
    <col min="9" max="9" width="14.140625" style="1" customWidth="1"/>
    <col min="10" max="10" width="2.7109375" style="1" customWidth="1"/>
    <col min="11" max="11" width="13.5703125" style="1" customWidth="1"/>
    <col min="12" max="12" width="2.42578125" style="1" customWidth="1"/>
    <col min="13" max="13" width="16.5703125" style="1" customWidth="1"/>
    <col min="14" max="14" width="2.7109375" style="1" customWidth="1"/>
    <col min="15" max="15" width="15.5703125" style="1" customWidth="1"/>
    <col min="16" max="16384" width="9.140625" style="1"/>
  </cols>
  <sheetData>
    <row r="1" spans="1:15" ht="15.75" x14ac:dyDescent="0.25">
      <c r="A1" s="5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5" t="s">
        <v>1284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5" t="s">
        <v>48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7"/>
      <c r="B8" s="8" t="s">
        <v>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7"/>
      <c r="N9" s="7"/>
      <c r="O9" s="7"/>
    </row>
    <row r="10" spans="1:15" ht="15" x14ac:dyDescent="0.2">
      <c r="A10" s="7"/>
      <c r="B10" s="7"/>
      <c r="C10" s="7"/>
      <c r="D10" s="7"/>
      <c r="E10" s="7"/>
      <c r="F10" s="7"/>
      <c r="G10" s="10"/>
      <c r="H10" s="7"/>
      <c r="I10" s="11"/>
      <c r="J10" s="7"/>
      <c r="K10" s="9"/>
      <c r="L10" s="7"/>
      <c r="M10" s="11" t="s">
        <v>52</v>
      </c>
      <c r="N10" s="7"/>
      <c r="O10" s="7"/>
    </row>
    <row r="11" spans="1:15" ht="15" x14ac:dyDescent="0.2">
      <c r="A11" s="7"/>
      <c r="B11" s="7"/>
      <c r="C11" s="12" t="s">
        <v>58</v>
      </c>
      <c r="D11" s="7"/>
      <c r="E11" s="13" t="s">
        <v>59</v>
      </c>
      <c r="F11" s="7"/>
      <c r="G11" s="14"/>
      <c r="H11" s="7"/>
      <c r="I11" s="15" t="s">
        <v>1287</v>
      </c>
      <c r="J11" s="7"/>
      <c r="K11" s="10"/>
      <c r="L11" s="7"/>
      <c r="M11" s="11" t="s">
        <v>60</v>
      </c>
      <c r="N11" s="7"/>
      <c r="O11" s="7"/>
    </row>
    <row r="12" spans="1:15" ht="15" x14ac:dyDescent="0.2">
      <c r="A12" s="7"/>
      <c r="B12" s="7"/>
      <c r="C12" s="7"/>
      <c r="D12" s="7"/>
      <c r="E12" s="13" t="s">
        <v>61</v>
      </c>
      <c r="F12" s="7"/>
      <c r="G12" s="10"/>
      <c r="H12" s="7"/>
      <c r="I12" s="11" t="s">
        <v>62</v>
      </c>
      <c r="J12" s="7"/>
      <c r="K12" s="10"/>
      <c r="L12" s="7"/>
      <c r="M12" s="11" t="s">
        <v>63</v>
      </c>
      <c r="N12" s="7"/>
      <c r="O12" s="7"/>
    </row>
    <row r="13" spans="1:15" ht="15" x14ac:dyDescent="0.2">
      <c r="A13" s="7"/>
      <c r="B13" s="7"/>
      <c r="C13" s="7"/>
      <c r="D13" s="7"/>
      <c r="E13" s="12" t="s">
        <v>64</v>
      </c>
      <c r="F13" s="7"/>
      <c r="G13" s="9"/>
      <c r="H13" s="7"/>
      <c r="I13" s="7"/>
      <c r="J13" s="7"/>
      <c r="K13" s="9"/>
      <c r="L13" s="7"/>
      <c r="M13" s="7"/>
      <c r="N13" s="7"/>
      <c r="O13" s="7"/>
    </row>
    <row r="14" spans="1:15" ht="15" x14ac:dyDescent="0.2">
      <c r="A14" s="7"/>
      <c r="B14" s="7"/>
      <c r="C14" s="7"/>
      <c r="D14" s="7"/>
      <c r="E14" s="7"/>
      <c r="F14" s="7"/>
      <c r="G14" s="9"/>
      <c r="H14" s="7"/>
      <c r="I14" s="7"/>
      <c r="J14" s="7"/>
      <c r="K14" s="9"/>
      <c r="L14" s="7"/>
      <c r="M14" s="7"/>
      <c r="N14" s="7"/>
      <c r="O14" s="7"/>
    </row>
    <row r="15" spans="1:15" ht="15" x14ac:dyDescent="0.2">
      <c r="A15" s="7"/>
      <c r="B15" s="7"/>
      <c r="C15" s="16" t="s">
        <v>0</v>
      </c>
      <c r="D15" s="7"/>
      <c r="E15" s="7">
        <v>2547.3160342369952</v>
      </c>
      <c r="F15" s="7"/>
      <c r="G15" s="9"/>
      <c r="H15" s="7"/>
      <c r="I15" s="19">
        <v>10</v>
      </c>
      <c r="J15" s="7"/>
      <c r="K15" s="9"/>
      <c r="L15" s="7"/>
      <c r="M15" s="21">
        <v>25473.160342369953</v>
      </c>
      <c r="N15" s="7"/>
      <c r="O15" s="7"/>
    </row>
    <row r="16" spans="1:15" ht="15" x14ac:dyDescent="0.2">
      <c r="A16" s="7"/>
      <c r="B16" s="7"/>
      <c r="C16" s="16" t="s">
        <v>1</v>
      </c>
      <c r="D16" s="7"/>
      <c r="E16" s="7">
        <v>2540.1247748737337</v>
      </c>
      <c r="F16" s="7"/>
      <c r="G16" s="9"/>
      <c r="H16" s="7"/>
      <c r="I16" s="19">
        <v>13</v>
      </c>
      <c r="J16" s="7"/>
      <c r="K16" s="9"/>
      <c r="L16" s="7"/>
      <c r="M16" s="21">
        <v>33021.622073358536</v>
      </c>
      <c r="N16" s="7"/>
      <c r="O16" s="7"/>
    </row>
    <row r="17" spans="1:15" ht="15" x14ac:dyDescent="0.2">
      <c r="A17" s="7"/>
      <c r="B17" s="7"/>
      <c r="C17" s="16" t="s">
        <v>2</v>
      </c>
      <c r="D17" s="7"/>
      <c r="E17" s="7">
        <v>2540.1247748737337</v>
      </c>
      <c r="F17" s="7"/>
      <c r="G17" s="9"/>
      <c r="H17" s="7"/>
      <c r="I17" s="19">
        <v>15</v>
      </c>
      <c r="J17" s="7"/>
      <c r="K17" s="9"/>
      <c r="L17" s="7"/>
      <c r="M17" s="21">
        <v>38101.871623106003</v>
      </c>
      <c r="N17" s="7"/>
      <c r="O17" s="7"/>
    </row>
    <row r="18" spans="1:15" ht="15" x14ac:dyDescent="0.2">
      <c r="A18" s="7"/>
      <c r="B18" s="7"/>
      <c r="C18" s="16" t="s">
        <v>3</v>
      </c>
      <c r="D18" s="7"/>
      <c r="E18" s="81">
        <v>2540.1247748737337</v>
      </c>
      <c r="F18" s="7"/>
      <c r="G18" s="9"/>
      <c r="H18" s="7"/>
      <c r="I18" s="19">
        <v>15</v>
      </c>
      <c r="J18" s="7"/>
      <c r="K18" s="9"/>
      <c r="L18" s="7"/>
      <c r="M18" s="21">
        <v>38101.871623106003</v>
      </c>
      <c r="N18" s="7"/>
      <c r="O18" s="7"/>
    </row>
    <row r="19" spans="1:15" ht="15" x14ac:dyDescent="0.2">
      <c r="A19" s="7"/>
      <c r="B19" s="7"/>
      <c r="C19" s="16" t="s">
        <v>4</v>
      </c>
      <c r="D19" s="7"/>
      <c r="E19" s="81">
        <v>2507.9374202348172</v>
      </c>
      <c r="F19" s="7"/>
      <c r="G19" s="9"/>
      <c r="H19" s="7"/>
      <c r="I19" s="19">
        <v>8</v>
      </c>
      <c r="J19" s="7"/>
      <c r="K19" s="9"/>
      <c r="L19" s="7"/>
      <c r="M19" s="21">
        <v>20063.499361878537</v>
      </c>
      <c r="N19" s="7"/>
      <c r="O19" s="7"/>
    </row>
    <row r="20" spans="1:15" ht="15" x14ac:dyDescent="0.2">
      <c r="A20" s="7"/>
      <c r="B20" s="7"/>
      <c r="C20" s="16" t="s">
        <v>5</v>
      </c>
      <c r="D20" s="7"/>
      <c r="E20" s="81">
        <v>2507.9374202348172</v>
      </c>
      <c r="F20" s="7"/>
      <c r="G20" s="18"/>
      <c r="H20" s="7"/>
      <c r="I20" s="19">
        <v>12</v>
      </c>
      <c r="J20" s="7"/>
      <c r="K20" s="20"/>
      <c r="L20" s="7"/>
      <c r="M20" s="21">
        <v>30095.249042817806</v>
      </c>
      <c r="N20" s="7"/>
      <c r="O20" s="7"/>
    </row>
    <row r="21" spans="1:15" ht="15" x14ac:dyDescent="0.2">
      <c r="A21" s="7"/>
      <c r="B21" s="7"/>
      <c r="C21" s="16" t="s">
        <v>6</v>
      </c>
      <c r="D21" s="7"/>
      <c r="E21" s="81">
        <v>2507.9374202348172</v>
      </c>
      <c r="F21" s="7"/>
      <c r="G21" s="18"/>
      <c r="H21" s="7"/>
      <c r="I21" s="19">
        <v>14</v>
      </c>
      <c r="J21" s="7"/>
      <c r="K21" s="20"/>
      <c r="L21" s="7"/>
      <c r="M21" s="21">
        <v>35111.123883287437</v>
      </c>
      <c r="N21" s="7"/>
      <c r="O21" s="7"/>
    </row>
    <row r="22" spans="1:15" ht="15" x14ac:dyDescent="0.2">
      <c r="A22" s="7"/>
      <c r="B22" s="7"/>
      <c r="C22" s="16" t="s">
        <v>7</v>
      </c>
      <c r="D22" s="7"/>
      <c r="E22" s="81">
        <v>2507.9374202348172</v>
      </c>
      <c r="F22" s="7"/>
      <c r="G22" s="18"/>
      <c r="H22" s="7"/>
      <c r="I22" s="19">
        <v>13</v>
      </c>
      <c r="J22" s="7"/>
      <c r="K22" s="20"/>
      <c r="L22" s="7"/>
      <c r="M22" s="21">
        <v>32603.186463052625</v>
      </c>
      <c r="N22" s="7"/>
      <c r="O22" s="7"/>
    </row>
    <row r="23" spans="1:15" ht="15" x14ac:dyDescent="0.2">
      <c r="A23" s="7"/>
      <c r="B23" s="7"/>
      <c r="C23" s="16"/>
      <c r="D23" s="7"/>
      <c r="E23" s="7"/>
      <c r="F23" s="7"/>
      <c r="G23" s="18"/>
      <c r="H23" s="7"/>
      <c r="I23" s="19"/>
      <c r="J23" s="7"/>
      <c r="K23" s="20"/>
      <c r="L23" s="7"/>
      <c r="M23" s="21"/>
      <c r="N23" s="7"/>
      <c r="O23" s="7"/>
    </row>
    <row r="24" spans="1:15" ht="16.5" thickBot="1" x14ac:dyDescent="0.3">
      <c r="A24" s="7"/>
      <c r="B24" s="7"/>
      <c r="C24" s="7"/>
      <c r="D24" s="7"/>
      <c r="E24" s="7"/>
      <c r="F24" s="7"/>
      <c r="G24" s="18"/>
      <c r="H24" s="7"/>
      <c r="I24" s="80">
        <v>100</v>
      </c>
      <c r="J24" s="7"/>
      <c r="K24" s="20"/>
      <c r="L24" s="7"/>
      <c r="M24" s="25">
        <v>252571.58441297692</v>
      </c>
      <c r="N24" s="7"/>
      <c r="O24" s="26">
        <v>252571.58441297692</v>
      </c>
    </row>
    <row r="25" spans="1:15" ht="15.75" thickTop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9"/>
      <c r="L25" s="7"/>
      <c r="M25" s="7"/>
      <c r="N25" s="7"/>
      <c r="O25" s="7"/>
    </row>
    <row r="26" spans="1:15" ht="15.75" x14ac:dyDescent="0.25">
      <c r="A26" s="7"/>
      <c r="B26" s="8" t="s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x14ac:dyDescent="0.2">
      <c r="A28" s="7"/>
      <c r="B28" s="7"/>
      <c r="C28" s="7"/>
      <c r="D28" s="7"/>
      <c r="E28" s="7" t="s">
        <v>49</v>
      </c>
      <c r="F28" s="7"/>
      <c r="G28" s="7"/>
      <c r="H28" s="7"/>
      <c r="I28" s="7"/>
      <c r="J28" s="7"/>
      <c r="K28" s="7"/>
      <c r="L28" s="7"/>
      <c r="M28" s="27">
        <v>4507.6620247982155</v>
      </c>
      <c r="N28" s="7"/>
      <c r="O28" s="7"/>
    </row>
    <row r="29" spans="1:15" ht="15" x14ac:dyDescent="0.2">
      <c r="A29" s="7"/>
      <c r="B29" s="7"/>
      <c r="C29" s="7"/>
      <c r="D29" s="7"/>
      <c r="E29" s="7" t="s">
        <v>66</v>
      </c>
      <c r="F29" s="7"/>
      <c r="G29" s="7"/>
      <c r="H29" s="7"/>
      <c r="I29" s="7"/>
      <c r="J29" s="7"/>
      <c r="K29" s="7"/>
      <c r="L29" s="7"/>
      <c r="M29" s="27">
        <v>13329.23372</v>
      </c>
      <c r="N29" s="7"/>
      <c r="O29" s="7"/>
    </row>
    <row r="30" spans="1:15" ht="15" x14ac:dyDescent="0.2">
      <c r="A30" s="7"/>
      <c r="B30" s="7"/>
      <c r="C30" s="7"/>
      <c r="D30" s="7"/>
      <c r="E30" s="7" t="s">
        <v>53</v>
      </c>
      <c r="F30" s="7"/>
      <c r="G30" s="7"/>
      <c r="H30" s="7"/>
      <c r="I30" s="7"/>
      <c r="J30" s="7"/>
      <c r="K30" s="7"/>
      <c r="L30" s="7"/>
      <c r="M30" s="27">
        <v>10125.027671586735</v>
      </c>
      <c r="N30" s="7"/>
      <c r="O30" s="7"/>
    </row>
    <row r="31" spans="1:15" ht="15" x14ac:dyDescent="0.2">
      <c r="A31" s="7"/>
      <c r="B31" s="7"/>
      <c r="C31" s="7"/>
      <c r="D31" s="7"/>
      <c r="E31" s="7" t="s">
        <v>50</v>
      </c>
      <c r="F31" s="7"/>
      <c r="G31" s="7"/>
      <c r="H31" s="7"/>
      <c r="I31" s="7"/>
      <c r="J31" s="7"/>
      <c r="K31" s="7"/>
      <c r="L31" s="7"/>
      <c r="M31" s="27">
        <v>11408.644806030936</v>
      </c>
      <c r="N31" s="7"/>
      <c r="O31" s="7"/>
    </row>
    <row r="32" spans="1:15" ht="15" x14ac:dyDescent="0.2">
      <c r="A32" s="7"/>
      <c r="B32" s="7"/>
      <c r="C32" s="7"/>
      <c r="D32" s="7"/>
      <c r="E32" s="7" t="s">
        <v>54</v>
      </c>
      <c r="F32" s="7"/>
      <c r="G32" s="7"/>
      <c r="H32" s="7"/>
      <c r="I32" s="7"/>
      <c r="J32" s="7"/>
      <c r="K32" s="7"/>
      <c r="L32" s="7"/>
      <c r="M32" s="27">
        <v>12037.5</v>
      </c>
      <c r="N32" s="7"/>
      <c r="O32" s="7"/>
    </row>
    <row r="33" spans="1:15" ht="15" x14ac:dyDescent="0.2">
      <c r="A33" s="7"/>
      <c r="B33" s="7"/>
      <c r="C33" s="7"/>
      <c r="D33" s="7"/>
      <c r="E33" s="7" t="s">
        <v>51</v>
      </c>
      <c r="F33" s="7"/>
      <c r="G33" s="7"/>
      <c r="H33" s="7"/>
      <c r="I33" s="7"/>
      <c r="J33" s="7"/>
      <c r="K33" s="7"/>
      <c r="L33" s="7"/>
      <c r="M33" s="27">
        <v>1864.6626848643537</v>
      </c>
      <c r="N33" s="7"/>
      <c r="O33" s="7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27"/>
      <c r="N34" s="7"/>
      <c r="O34" s="7"/>
    </row>
    <row r="35" spans="1:15" ht="15" x14ac:dyDescent="0.2">
      <c r="A35" s="7"/>
      <c r="B35" s="7"/>
      <c r="C35" s="7"/>
      <c r="D35" s="7"/>
      <c r="E35" s="7" t="s">
        <v>67</v>
      </c>
      <c r="F35" s="7"/>
      <c r="G35" s="7"/>
      <c r="H35" s="7"/>
      <c r="I35" s="7"/>
      <c r="J35" s="7"/>
      <c r="K35" s="7"/>
      <c r="L35" s="7"/>
      <c r="M35" s="27">
        <v>999</v>
      </c>
      <c r="N35" s="7"/>
      <c r="O35" s="7"/>
    </row>
    <row r="36" spans="1:15" ht="15" x14ac:dyDescent="0.2">
      <c r="A36" s="7"/>
      <c r="B36" s="7"/>
      <c r="C36" s="7"/>
      <c r="D36" s="7"/>
      <c r="E36" s="7" t="s">
        <v>68</v>
      </c>
      <c r="F36" s="7"/>
      <c r="G36" s="7"/>
      <c r="H36" s="7"/>
      <c r="I36" s="7"/>
      <c r="J36" s="7"/>
      <c r="K36" s="7"/>
      <c r="L36" s="7"/>
      <c r="M36" s="27">
        <v>1583.0292187499999</v>
      </c>
      <c r="N36" s="7"/>
      <c r="O36" s="7"/>
    </row>
    <row r="37" spans="1:15" ht="15" x14ac:dyDescent="0.2">
      <c r="A37" s="7"/>
      <c r="B37" s="7"/>
      <c r="C37" s="7"/>
      <c r="D37" s="7"/>
      <c r="E37" s="28" t="s">
        <v>69</v>
      </c>
      <c r="F37" s="7"/>
      <c r="G37" s="7"/>
      <c r="H37" s="7"/>
      <c r="I37" s="7"/>
      <c r="J37" s="7"/>
      <c r="K37" s="7"/>
      <c r="L37" s="7"/>
      <c r="M37" s="27">
        <v>928</v>
      </c>
      <c r="N37" s="7"/>
      <c r="O37" s="7"/>
    </row>
    <row r="38" spans="1:15" ht="15" x14ac:dyDescent="0.2">
      <c r="A38" s="7"/>
      <c r="B38" s="7"/>
      <c r="C38" s="7"/>
      <c r="D38" s="7"/>
      <c r="E38" s="29" t="s">
        <v>786</v>
      </c>
      <c r="F38" s="7"/>
      <c r="G38" s="7"/>
      <c r="H38" s="7"/>
      <c r="I38" s="7"/>
      <c r="J38" s="7"/>
      <c r="K38" s="7"/>
      <c r="L38" s="7"/>
      <c r="M38" s="27">
        <v>2942</v>
      </c>
      <c r="N38" s="7"/>
      <c r="O38" s="7"/>
    </row>
    <row r="39" spans="1:15" ht="15" x14ac:dyDescent="0.2">
      <c r="A39" s="7"/>
      <c r="B39" s="7"/>
      <c r="C39" s="7"/>
      <c r="D39" s="7"/>
      <c r="E39" s="7" t="s">
        <v>70</v>
      </c>
      <c r="F39" s="7"/>
      <c r="G39" s="7"/>
      <c r="H39" s="7"/>
      <c r="I39" s="7"/>
      <c r="J39" s="7"/>
      <c r="K39" s="7"/>
      <c r="L39" s="7"/>
      <c r="M39" s="27">
        <v>1000</v>
      </c>
      <c r="N39" s="7"/>
      <c r="O39" s="7"/>
    </row>
    <row r="40" spans="1:15" ht="15" x14ac:dyDescent="0.2">
      <c r="A40" s="7"/>
      <c r="B40" s="7"/>
      <c r="C40" s="7"/>
      <c r="D40" s="7"/>
      <c r="E40" s="7" t="s">
        <v>71</v>
      </c>
      <c r="F40" s="7"/>
      <c r="G40" s="7"/>
      <c r="H40" s="7"/>
      <c r="I40" s="7"/>
      <c r="J40" s="7"/>
      <c r="K40" s="7"/>
      <c r="L40" s="7"/>
      <c r="M40" s="27">
        <v>1996.55521875</v>
      </c>
      <c r="N40" s="7"/>
      <c r="O40" s="7"/>
    </row>
    <row r="41" spans="1:15" ht="15" x14ac:dyDescent="0.2">
      <c r="A41" s="7"/>
      <c r="B41" s="7"/>
      <c r="C41" s="7"/>
      <c r="D41" s="7"/>
      <c r="E41" s="7" t="s">
        <v>72</v>
      </c>
      <c r="F41" s="7"/>
      <c r="G41" s="7"/>
      <c r="H41" s="7"/>
      <c r="I41" s="7"/>
      <c r="J41" s="7"/>
      <c r="K41" s="7"/>
      <c r="L41" s="7"/>
      <c r="M41" s="27">
        <v>847.42475145507785</v>
      </c>
      <c r="N41" s="7"/>
      <c r="O41" s="7"/>
    </row>
    <row r="42" spans="1:15" ht="15" x14ac:dyDescent="0.2">
      <c r="A42" s="7"/>
      <c r="B42" s="7"/>
      <c r="C42" s="7"/>
      <c r="D42" s="7"/>
      <c r="E42" s="7" t="s">
        <v>55</v>
      </c>
      <c r="F42" s="7"/>
      <c r="G42" s="7"/>
      <c r="H42" s="7"/>
      <c r="I42" s="7"/>
      <c r="J42" s="7"/>
      <c r="K42" s="7"/>
      <c r="L42" s="7"/>
      <c r="M42" s="27">
        <v>257.9610725390624</v>
      </c>
      <c r="N42" s="7"/>
      <c r="O42" s="7"/>
    </row>
    <row r="43" spans="1:15" ht="15" x14ac:dyDescent="0.2">
      <c r="A43" s="7"/>
      <c r="B43" s="7"/>
      <c r="C43" s="7"/>
      <c r="D43" s="7"/>
      <c r="E43" s="7" t="s">
        <v>842</v>
      </c>
      <c r="F43" s="7"/>
      <c r="G43" s="7"/>
      <c r="H43" s="7"/>
      <c r="I43" s="7"/>
      <c r="J43" s="7"/>
      <c r="K43" s="7"/>
      <c r="L43" s="7"/>
      <c r="M43" s="27">
        <v>0</v>
      </c>
      <c r="N43" s="7"/>
      <c r="O43" s="7"/>
    </row>
    <row r="44" spans="1:15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7"/>
      <c r="N44" s="7"/>
      <c r="O44" s="7"/>
    </row>
    <row r="45" spans="1:15" ht="15" x14ac:dyDescent="0.2">
      <c r="A45" s="7"/>
      <c r="B45" s="7"/>
      <c r="C45" s="7"/>
      <c r="D45" s="7"/>
      <c r="E45" s="7" t="s">
        <v>81</v>
      </c>
      <c r="F45" s="7"/>
      <c r="G45" s="7"/>
      <c r="H45" s="7"/>
      <c r="I45" s="7"/>
      <c r="J45" s="7"/>
      <c r="K45" s="7"/>
      <c r="L45" s="7"/>
      <c r="M45" s="27">
        <v>0</v>
      </c>
      <c r="N45" s="7"/>
      <c r="O45" s="7"/>
    </row>
    <row r="46" spans="1:15" ht="15" x14ac:dyDescent="0.2">
      <c r="A46" s="7"/>
      <c r="B46" s="7"/>
      <c r="C46" s="7"/>
      <c r="D46" s="7"/>
      <c r="E46" s="7" t="s">
        <v>79</v>
      </c>
      <c r="F46" s="7"/>
      <c r="G46" s="7"/>
      <c r="H46" s="7"/>
      <c r="I46" s="7"/>
      <c r="J46" s="7"/>
      <c r="K46" s="7"/>
      <c r="L46" s="7"/>
      <c r="M46" s="27">
        <v>0</v>
      </c>
      <c r="N46" s="7"/>
      <c r="O46" s="7"/>
    </row>
    <row r="47" spans="1:15" ht="15" x14ac:dyDescent="0.2">
      <c r="A47" s="7"/>
      <c r="B47" s="7"/>
      <c r="C47" s="7"/>
      <c r="D47" s="7"/>
      <c r="E47" s="7" t="s">
        <v>73</v>
      </c>
      <c r="F47" s="7"/>
      <c r="G47" s="7"/>
      <c r="H47" s="7"/>
      <c r="I47" s="7"/>
      <c r="J47" s="7"/>
      <c r="K47" s="7"/>
      <c r="L47" s="7"/>
      <c r="M47" s="27">
        <v>28899.938539999999</v>
      </c>
      <c r="N47" s="7"/>
      <c r="O47" s="7"/>
    </row>
    <row r="48" spans="1:15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/>
      <c r="N48" s="7"/>
      <c r="O48" s="7"/>
    </row>
    <row r="49" spans="1:15" ht="15" x14ac:dyDescent="0.2">
      <c r="A49" s="7"/>
      <c r="B49" s="7"/>
      <c r="C49" s="7"/>
      <c r="D49" s="7"/>
      <c r="E49" s="7" t="s">
        <v>74</v>
      </c>
      <c r="F49" s="7"/>
      <c r="G49" s="7"/>
      <c r="H49" s="7"/>
      <c r="I49" s="7"/>
      <c r="J49" s="7"/>
      <c r="K49" s="7"/>
      <c r="L49" s="7"/>
      <c r="M49" s="27">
        <v>0</v>
      </c>
      <c r="N49" s="7"/>
      <c r="O49" s="7"/>
    </row>
    <row r="50" spans="1:15" ht="15" x14ac:dyDescent="0.2">
      <c r="A50" s="7"/>
      <c r="B50" s="7"/>
      <c r="C50" s="7"/>
      <c r="D50" s="7"/>
      <c r="E50" s="7" t="s">
        <v>75</v>
      </c>
      <c r="F50" s="7"/>
      <c r="G50" s="7"/>
      <c r="H50" s="7"/>
      <c r="I50" s="7"/>
      <c r="J50" s="7"/>
      <c r="K50" s="7"/>
      <c r="L50" s="7"/>
      <c r="M50" s="27">
        <v>143400.44438461537</v>
      </c>
      <c r="N50" s="7"/>
      <c r="O50" s="7"/>
    </row>
    <row r="51" spans="1:15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0">
        <v>236127.08409338974</v>
      </c>
      <c r="N52" s="7"/>
      <c r="O52" s="31">
        <v>236127.08409338974</v>
      </c>
    </row>
    <row r="53" spans="1:15" ht="16.5" thickTop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32"/>
      <c r="N53" s="7"/>
      <c r="O53" s="31"/>
    </row>
    <row r="54" spans="1:15" ht="15.75" x14ac:dyDescent="0.25">
      <c r="A54" s="7"/>
      <c r="B54" s="8" t="s">
        <v>648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">
      <c r="A55" s="7"/>
      <c r="B55" s="7"/>
      <c r="C55" s="11"/>
      <c r="D55" s="7"/>
      <c r="E55" s="11"/>
      <c r="F55" s="7"/>
      <c r="G55" s="7"/>
      <c r="H55" s="11"/>
      <c r="I55" s="7"/>
      <c r="J55" s="7"/>
      <c r="K55" s="7"/>
      <c r="L55" s="7"/>
      <c r="M55" s="7"/>
      <c r="N55" s="7"/>
      <c r="O55" s="7"/>
    </row>
    <row r="56" spans="1:15" ht="15" x14ac:dyDescent="0.2">
      <c r="A56" s="7"/>
      <c r="B56" s="7"/>
      <c r="C56" s="7"/>
      <c r="D56" s="7"/>
      <c r="E56" s="11"/>
      <c r="F56" s="7"/>
      <c r="G56" s="11"/>
      <c r="H56" s="7"/>
      <c r="I56" s="11"/>
      <c r="J56" s="7"/>
      <c r="K56" s="11"/>
      <c r="L56" s="7"/>
      <c r="M56" s="12"/>
      <c r="N56" s="7"/>
      <c r="O56" s="7"/>
    </row>
    <row r="57" spans="1:15" ht="15" x14ac:dyDescent="0.2">
      <c r="A57" s="7"/>
      <c r="B57" s="7"/>
      <c r="C57" s="151" t="s">
        <v>1285</v>
      </c>
      <c r="D57" s="7"/>
      <c r="E57" s="11"/>
      <c r="F57" s="7"/>
      <c r="G57" s="7"/>
      <c r="H57" s="7"/>
      <c r="I57" s="7"/>
      <c r="J57" s="7"/>
      <c r="K57" s="7"/>
      <c r="L57" s="7"/>
      <c r="M57" s="27">
        <v>0</v>
      </c>
      <c r="N57" s="7"/>
      <c r="O57" s="7"/>
    </row>
    <row r="58" spans="1:15" ht="15" x14ac:dyDescent="0.2">
      <c r="A58" s="7"/>
      <c r="B58" s="7"/>
      <c r="C58" s="12"/>
      <c r="D58" s="7"/>
      <c r="E58" s="36"/>
      <c r="F58" s="7"/>
      <c r="G58" s="12"/>
      <c r="H58" s="7"/>
      <c r="I58" s="12"/>
      <c r="J58" s="7"/>
      <c r="K58" s="12"/>
      <c r="L58" s="7"/>
      <c r="M58" s="35"/>
      <c r="N58" s="7"/>
      <c r="O58" s="7"/>
    </row>
    <row r="59" spans="1:15" ht="15" x14ac:dyDescent="0.2">
      <c r="A59" s="7"/>
      <c r="B59" s="7"/>
      <c r="C59" s="95" t="s">
        <v>1286</v>
      </c>
      <c r="D59" s="7"/>
      <c r="E59" s="36"/>
      <c r="F59" s="7"/>
      <c r="G59" s="12"/>
      <c r="H59" s="7"/>
      <c r="I59" s="12"/>
      <c r="J59" s="7"/>
      <c r="K59" s="12"/>
      <c r="L59" s="7"/>
      <c r="M59" s="27">
        <v>25676</v>
      </c>
      <c r="N59" s="7"/>
      <c r="O59" s="7"/>
    </row>
    <row r="60" spans="1:15" ht="15" x14ac:dyDescent="0.2">
      <c r="A60" s="7"/>
      <c r="B60" s="7"/>
      <c r="C60" s="12"/>
      <c r="D60" s="7"/>
      <c r="E60" s="36"/>
      <c r="F60" s="7"/>
      <c r="G60" s="12"/>
      <c r="H60" s="7"/>
      <c r="I60" s="12"/>
      <c r="J60" s="7"/>
      <c r="K60" s="12"/>
      <c r="L60" s="7"/>
      <c r="M60" s="35"/>
      <c r="N60" s="7"/>
      <c r="O60" s="7"/>
    </row>
    <row r="61" spans="1:15" ht="15" x14ac:dyDescent="0.2">
      <c r="A61" s="7"/>
      <c r="B61" s="7"/>
      <c r="C61" s="12"/>
      <c r="D61" s="7"/>
      <c r="E61" s="36"/>
      <c r="F61" s="7"/>
      <c r="G61" s="12"/>
      <c r="H61" s="7"/>
      <c r="I61" s="12"/>
      <c r="J61" s="7"/>
      <c r="K61" s="12"/>
      <c r="L61" s="7"/>
      <c r="M61" s="35"/>
      <c r="N61" s="7"/>
      <c r="O61" s="7"/>
    </row>
    <row r="62" spans="1:15" ht="1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35"/>
      <c r="N62" s="7"/>
      <c r="O62" s="7"/>
    </row>
    <row r="63" spans="1:15" ht="1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37">
        <v>25676</v>
      </c>
      <c r="N63" s="7"/>
      <c r="O63" s="7"/>
    </row>
    <row r="64" spans="1:15" ht="1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35"/>
      <c r="N64" s="7"/>
      <c r="O64" s="7"/>
    </row>
    <row r="65" spans="1:15" ht="15" x14ac:dyDescent="0.2">
      <c r="A65" s="7"/>
      <c r="B65" s="7"/>
      <c r="C65" s="7" t="s">
        <v>77</v>
      </c>
      <c r="D65" s="7"/>
      <c r="E65" s="7"/>
      <c r="F65" s="7"/>
      <c r="G65" s="7"/>
      <c r="H65" s="7"/>
      <c r="I65" s="7"/>
      <c r="J65" s="7"/>
      <c r="K65" s="7"/>
      <c r="L65" s="7"/>
      <c r="M65" s="27">
        <v>0</v>
      </c>
      <c r="N65" s="7"/>
      <c r="O65" s="7"/>
    </row>
    <row r="66" spans="1:15" ht="16.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38">
        <v>25676</v>
      </c>
      <c r="N66" s="7"/>
      <c r="O66" s="39">
        <v>25676</v>
      </c>
    </row>
    <row r="67" spans="1:15" ht="16.5" thickTop="1" thickBo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.5" thickBot="1" x14ac:dyDescent="0.3">
      <c r="A68" s="7"/>
      <c r="B68" s="7"/>
      <c r="C68" s="8" t="s">
        <v>78</v>
      </c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40">
        <v>514374.66850636667</v>
      </c>
    </row>
    <row r="69" spans="1:15" ht="1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Threshold</vt:lpstr>
      <vt:lpstr>Part 1</vt:lpstr>
      <vt:lpstr>Part 2</vt:lpstr>
      <vt:lpstr>Caldicot Comp</vt:lpstr>
      <vt:lpstr>Chepstow Comp</vt:lpstr>
      <vt:lpstr>King Henry Comp</vt:lpstr>
      <vt:lpstr>Monmouth Comp</vt:lpstr>
      <vt:lpstr>Mounton House</vt:lpstr>
      <vt:lpstr>PRU</vt:lpstr>
      <vt:lpstr>ABRW</vt:lpstr>
      <vt:lpstr>Green Lane</vt:lpstr>
      <vt:lpstr>Castle Park</vt:lpstr>
      <vt:lpstr>West End</vt:lpstr>
      <vt:lpstr>Cantref</vt:lpstr>
      <vt:lpstr>Cross Ash</vt:lpstr>
      <vt:lpstr>Deri View</vt:lpstr>
      <vt:lpstr>Dewstow</vt:lpstr>
      <vt:lpstr>Durand</vt:lpstr>
      <vt:lpstr>Gilwern</vt:lpstr>
      <vt:lpstr>Goytre</vt:lpstr>
      <vt:lpstr>Kymin View</vt:lpstr>
      <vt:lpstr>Llandogo</vt:lpstr>
      <vt:lpstr>Llanfair</vt:lpstr>
      <vt:lpstr>Llanfoist</vt:lpstr>
      <vt:lpstr>Llantilio</vt:lpstr>
      <vt:lpstr>Llanvihangel</vt:lpstr>
      <vt:lpstr>Magor</vt:lpstr>
      <vt:lpstr>Osbaston</vt:lpstr>
      <vt:lpstr>OLSM</vt:lpstr>
      <vt:lpstr>Overmonnow</vt:lpstr>
      <vt:lpstr>Pembroke</vt:lpstr>
      <vt:lpstr>Raglan</vt:lpstr>
      <vt:lpstr>Rogiet</vt:lpstr>
      <vt:lpstr>Shirenewton</vt:lpstr>
      <vt:lpstr>St Marys</vt:lpstr>
      <vt:lpstr>The Dell</vt:lpstr>
      <vt:lpstr>Thornwell</vt:lpstr>
      <vt:lpstr>Trellech</vt:lpstr>
      <vt:lpstr>Undy</vt:lpstr>
      <vt:lpstr>Usk</vt:lpstr>
      <vt:lpstr>Y Fenni</vt:lpstr>
      <vt:lpstr>Y Ffin</vt:lpstr>
    </vt:vector>
  </TitlesOfParts>
  <Company>Monmouthshire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drew.aj</dc:creator>
  <cp:lastModifiedBy>Evans, Sophie</cp:lastModifiedBy>
  <cp:lastPrinted>2019-03-07T09:58:21Z</cp:lastPrinted>
  <dcterms:created xsi:type="dcterms:W3CDTF">2010-08-09T15:23:19Z</dcterms:created>
  <dcterms:modified xsi:type="dcterms:W3CDTF">2022-06-28T15:17:01Z</dcterms:modified>
</cp:coreProperties>
</file>